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Matt\GICINC Dropbox\GIC Tools\Trees and Stormwater Calculator\"/>
    </mc:Choice>
  </mc:AlternateContent>
  <xr:revisionPtr revIDLastSave="0" documentId="13_ncr:1_{0DEB55BB-0BD3-42BD-ABBF-45B5DB0D3763}" xr6:coauthVersionLast="47" xr6:coauthVersionMax="47" xr10:uidLastSave="{00000000-0000-0000-0000-000000000000}"/>
  <bookViews>
    <workbookView xWindow="-120" yWindow="-120" windowWidth="20730" windowHeight="11040" activeTab="1" xr2:uid="{00000000-000D-0000-FFFF-FFFF00000000}"/>
  </bookViews>
  <sheets>
    <sheet name="Instructions" sheetId="14" r:id="rId1"/>
    <sheet name="Summary" sheetId="70" r:id="rId2"/>
    <sheet name="1" sheetId="43" r:id="rId3"/>
    <sheet name="2" sheetId="51" r:id="rId4"/>
    <sheet name="3" sheetId="50" r:id="rId5"/>
    <sheet name="TheModel" sheetId="9" r:id="rId6"/>
    <sheet name="Events" sheetId="10" r:id="rId7"/>
    <sheet name="Landcover" sheetId="11" r:id="rId8"/>
    <sheet name="LandcoverPotential" sheetId="12" r:id="rId9"/>
    <sheet name="LC_HSG_Data" sheetId="13" r:id="rId10"/>
  </sheets>
  <externalReferences>
    <externalReference r:id="rId11"/>
  </externalReferences>
  <definedNames>
    <definedName name="bare">TheModel!$G$65:$I$65</definedName>
    <definedName name="Ci">TheModel!$I$46:$K$46</definedName>
    <definedName name="CN_FOS">TheModel!$G$34:$M$34</definedName>
    <definedName name="CN_PER">TheModel!$G$30:$M$30</definedName>
    <definedName name="CN_TCP">TheModel!$G$28:$M$28</definedName>
    <definedName name="CNadj">Events!$C$12</definedName>
    <definedName name="CommunityName">#REF!</definedName>
    <definedName name="CompositeCN">LC_HSG_Data!$CG$6:$CQ$69</definedName>
    <definedName name="Design_Event">Events!$B$2:$B$9</definedName>
    <definedName name="impervious">TheModel!$G$64:$I$64</definedName>
    <definedName name="LANDCOVER">Landcover!$A$4:$M$68</definedName>
    <definedName name="LANDCOVERPOT">LandcoverPotential!$A$4:$M$68</definedName>
    <definedName name="loads">TheModel!$G$60:$I$69</definedName>
    <definedName name="LossCF" localSheetId="2">'1'!$Y$23</definedName>
    <definedName name="LossCF" localSheetId="3">'2'!$Y$23</definedName>
    <definedName name="LossCF" localSheetId="4">'3'!$Y$23</definedName>
    <definedName name="LossCF">#REF!</definedName>
    <definedName name="Mgal">TheModel!$E$73</definedName>
    <definedName name="ModelCi">Events!$C$13</definedName>
    <definedName name="nloads">TheModel!$G$60:$G$69</definedName>
    <definedName name="pervious">TheModel!$G$62:$I$62</definedName>
    <definedName name="ploads">TheModel!$H$60:$H$69</definedName>
    <definedName name="sedloads">TheModel!$I$60:$I$69</definedName>
    <definedName name="TCN">TheModel!$I$47:$K$47</definedName>
    <definedName name="wetland">TheModel!$G$68:$I$68</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13" i="70" l="1"/>
  <c r="J3" i="11"/>
  <c r="K3" i="11"/>
  <c r="L3" i="11"/>
  <c r="L3" i="12"/>
  <c r="CE6" i="13" l="1"/>
  <c r="M5" i="12"/>
  <c r="CE7" i="13"/>
  <c r="CE8" i="13"/>
  <c r="CE9" i="13"/>
  <c r="CE10" i="13"/>
  <c r="CE11" i="13"/>
  <c r="CE12" i="13"/>
  <c r="CE13" i="13"/>
  <c r="CE14" i="13"/>
  <c r="CE15" i="13"/>
  <c r="CE16" i="13"/>
  <c r="CE17" i="13"/>
  <c r="CE18" i="13"/>
  <c r="CE19" i="13"/>
  <c r="CE20" i="13"/>
  <c r="CE21" i="13"/>
  <c r="CE22" i="13"/>
  <c r="CE23" i="13"/>
  <c r="CE24" i="13"/>
  <c r="CE25" i="13"/>
  <c r="CE26" i="13"/>
  <c r="CE27" i="13"/>
  <c r="CE28" i="13"/>
  <c r="CE29" i="13"/>
  <c r="CE30" i="13"/>
  <c r="CE31" i="13"/>
  <c r="CE32" i="13"/>
  <c r="CE33" i="13"/>
  <c r="CE34" i="13"/>
  <c r="CE35" i="13"/>
  <c r="CE36" i="13"/>
  <c r="CE37" i="13"/>
  <c r="CE38" i="13"/>
  <c r="CE39" i="13"/>
  <c r="CE40" i="13"/>
  <c r="CE41" i="13"/>
  <c r="CE42" i="13"/>
  <c r="CE43" i="13"/>
  <c r="CE44" i="13"/>
  <c r="CE45" i="13"/>
  <c r="CE46" i="13"/>
  <c r="CE47" i="13"/>
  <c r="CE48" i="13"/>
  <c r="CE49" i="13"/>
  <c r="CE50" i="13"/>
  <c r="CE51" i="13"/>
  <c r="CE52" i="13"/>
  <c r="CE53" i="13"/>
  <c r="CE54" i="13"/>
  <c r="CE55" i="13"/>
  <c r="CE56" i="13"/>
  <c r="CE57" i="13"/>
  <c r="CE58" i="13"/>
  <c r="CE59" i="13"/>
  <c r="CE60" i="13"/>
  <c r="CE61" i="13"/>
  <c r="CE62" i="13"/>
  <c r="CE63" i="13"/>
  <c r="CE64" i="13"/>
  <c r="CE65" i="13"/>
  <c r="CE66" i="13"/>
  <c r="CE67" i="13"/>
  <c r="CE68" i="13"/>
  <c r="CE69" i="13"/>
  <c r="D6" i="51" l="1"/>
  <c r="D7" i="51"/>
  <c r="D12" i="51"/>
  <c r="D13" i="51"/>
  <c r="D8" i="51"/>
  <c r="D9" i="51"/>
  <c r="V9" i="51" s="1"/>
  <c r="D10" i="51"/>
  <c r="D11" i="51"/>
  <c r="V11" i="51" s="1"/>
  <c r="D14" i="51"/>
  <c r="D15" i="51"/>
  <c r="V15" i="51" s="1"/>
  <c r="K6" i="51"/>
  <c r="K7" i="51"/>
  <c r="K12" i="51"/>
  <c r="K13" i="51"/>
  <c r="CL7" i="13"/>
  <c r="G29" i="9"/>
  <c r="CI6" i="13" s="1"/>
  <c r="CN7" i="13"/>
  <c r="D6" i="43"/>
  <c r="D10" i="43"/>
  <c r="CL6" i="13"/>
  <c r="D7" i="43"/>
  <c r="D12" i="43"/>
  <c r="CN6" i="13"/>
  <c r="D13" i="43"/>
  <c r="D8" i="43"/>
  <c r="D9" i="43"/>
  <c r="D11" i="43"/>
  <c r="V11" i="43" s="1"/>
  <c r="D14" i="43"/>
  <c r="Z14" i="43" s="1"/>
  <c r="AA14" i="43" s="1"/>
  <c r="AB14" i="43" s="1"/>
  <c r="D15" i="43"/>
  <c r="CS16" i="13" a="1"/>
  <c r="CS16" i="13" s="1"/>
  <c r="CT16" i="13" a="1"/>
  <c r="CT16" i="13" s="1"/>
  <c r="CV16" i="13" a="1"/>
  <c r="CV16" i="13" s="1"/>
  <c r="CS17" i="13" a="1"/>
  <c r="CS17" i="13" s="1"/>
  <c r="CT17" i="13" a="1"/>
  <c r="CT17" i="13" s="1"/>
  <c r="CV17" i="13" a="1"/>
  <c r="CV17" i="13" s="1"/>
  <c r="CS18" i="13" a="1"/>
  <c r="CS18" i="13" s="1"/>
  <c r="CT18" i="13" a="1"/>
  <c r="CT18" i="13" s="1"/>
  <c r="CV18" i="13" a="1"/>
  <c r="CV18" i="13" s="1"/>
  <c r="CS19" i="13" a="1"/>
  <c r="CS19" i="13" s="1"/>
  <c r="CT19" i="13" a="1"/>
  <c r="CT19" i="13" s="1"/>
  <c r="CV19" i="13" a="1"/>
  <c r="CV19" i="13" s="1"/>
  <c r="CS20" i="13" a="1"/>
  <c r="CS20" i="13" s="1"/>
  <c r="CT20" i="13" a="1"/>
  <c r="CT20" i="13" s="1"/>
  <c r="CV20" i="13" a="1"/>
  <c r="CV20" i="13" s="1"/>
  <c r="CS21" i="13" a="1"/>
  <c r="CS21" i="13" s="1"/>
  <c r="CT21" i="13" a="1"/>
  <c r="CT21" i="13" s="1"/>
  <c r="CV21" i="13" a="1"/>
  <c r="CV21" i="13" s="1"/>
  <c r="CS22" i="13" a="1"/>
  <c r="CS22" i="13" s="1"/>
  <c r="CT22" i="13" a="1"/>
  <c r="CT22" i="13" s="1"/>
  <c r="CV22" i="13" a="1"/>
  <c r="CV22" i="13"/>
  <c r="CS23" i="13" a="1"/>
  <c r="CS23" i="13" s="1"/>
  <c r="CT23" i="13" a="1"/>
  <c r="CT23" i="13" s="1"/>
  <c r="CV23" i="13" a="1"/>
  <c r="CV23" i="13" s="1"/>
  <c r="CS24" i="13" a="1"/>
  <c r="CS24" i="13" s="1"/>
  <c r="CT24" i="13" a="1"/>
  <c r="CT24" i="13" s="1"/>
  <c r="CV24" i="13" a="1"/>
  <c r="CV24" i="13" s="1"/>
  <c r="CS25" i="13" a="1"/>
  <c r="CS25" i="13" s="1"/>
  <c r="CT25" i="13" a="1"/>
  <c r="CT25" i="13" s="1"/>
  <c r="CV25" i="13" a="1"/>
  <c r="CV25" i="13" s="1"/>
  <c r="CS26" i="13" a="1"/>
  <c r="CS26" i="13" s="1"/>
  <c r="CT26" i="13" a="1"/>
  <c r="CT26" i="13" s="1"/>
  <c r="CV26" i="13" a="1"/>
  <c r="CV26" i="13" s="1"/>
  <c r="CS27" i="13" a="1"/>
  <c r="CS27" i="13" s="1"/>
  <c r="CT27" i="13" a="1"/>
  <c r="CT27" i="13" s="1"/>
  <c r="CV27" i="13" a="1"/>
  <c r="CV27" i="13" s="1"/>
  <c r="CS28" i="13" a="1"/>
  <c r="CS28" i="13" s="1"/>
  <c r="CT28" i="13" a="1"/>
  <c r="CT28" i="13" s="1"/>
  <c r="CV28" i="13" a="1"/>
  <c r="CV28" i="13" s="1"/>
  <c r="CS29" i="13" a="1"/>
  <c r="CS29" i="13" s="1"/>
  <c r="CT29" i="13" a="1"/>
  <c r="CT29" i="13" s="1"/>
  <c r="CV29" i="13" a="1"/>
  <c r="CV29" i="13" s="1"/>
  <c r="CS30" i="13" a="1"/>
  <c r="CS30" i="13" s="1"/>
  <c r="CT30" i="13" a="1"/>
  <c r="CT30" i="13" s="1"/>
  <c r="CV30" i="13" a="1"/>
  <c r="CV30" i="13"/>
  <c r="CS31" i="13" a="1"/>
  <c r="CS31" i="13" s="1"/>
  <c r="CT31" i="13" a="1"/>
  <c r="CT31" i="13" s="1"/>
  <c r="CV31" i="13" a="1"/>
  <c r="CV31" i="13" s="1"/>
  <c r="CS32" i="13" a="1"/>
  <c r="CS32" i="13" s="1"/>
  <c r="CT32" i="13" a="1"/>
  <c r="CT32" i="13" s="1"/>
  <c r="CV32" i="13" a="1"/>
  <c r="CV32" i="13" s="1"/>
  <c r="CS33" i="13" a="1"/>
  <c r="CS33" i="13" s="1"/>
  <c r="CT33" i="13" a="1"/>
  <c r="CT33" i="13" s="1"/>
  <c r="CV33" i="13" a="1"/>
  <c r="CV33" i="13" s="1"/>
  <c r="CS34" i="13" a="1"/>
  <c r="CS34" i="13" s="1"/>
  <c r="CT34" i="13" a="1"/>
  <c r="CT34" i="13" s="1"/>
  <c r="CV34" i="13" a="1"/>
  <c r="CV34" i="13" s="1"/>
  <c r="CS35" i="13" a="1"/>
  <c r="CS35" i="13" s="1"/>
  <c r="CT35" i="13" a="1"/>
  <c r="CT35" i="13" s="1"/>
  <c r="CV35" i="13" a="1"/>
  <c r="CV35" i="13" s="1"/>
  <c r="CS36" i="13" a="1"/>
  <c r="CS36" i="13" s="1"/>
  <c r="CT36" i="13" a="1"/>
  <c r="CT36" i="13" s="1"/>
  <c r="CV36" i="13" a="1"/>
  <c r="CV36" i="13" s="1"/>
  <c r="CS37" i="13" a="1"/>
  <c r="CS37" i="13" s="1"/>
  <c r="CT37" i="13" a="1"/>
  <c r="CT37" i="13" s="1"/>
  <c r="CV37" i="13" a="1"/>
  <c r="CV37" i="13" s="1"/>
  <c r="CS38" i="13" a="1"/>
  <c r="CS38" i="13" s="1"/>
  <c r="CT38" i="13" a="1"/>
  <c r="CT38" i="13" s="1"/>
  <c r="CV38" i="13" a="1"/>
  <c r="CV38" i="13"/>
  <c r="CS39" i="13" a="1"/>
  <c r="CS39" i="13" s="1"/>
  <c r="CT39" i="13" a="1"/>
  <c r="CT39" i="13" s="1"/>
  <c r="CV39" i="13" a="1"/>
  <c r="CV39" i="13" s="1"/>
  <c r="CS40" i="13" a="1"/>
  <c r="CS40" i="13" s="1"/>
  <c r="CT40" i="13" a="1"/>
  <c r="CT40" i="13" s="1"/>
  <c r="CV40" i="13" a="1"/>
  <c r="CV40" i="13" s="1"/>
  <c r="CS41" i="13" a="1"/>
  <c r="CS41" i="13" s="1"/>
  <c r="CT41" i="13" a="1"/>
  <c r="CT41" i="13" s="1"/>
  <c r="CV41" i="13" a="1"/>
  <c r="CV41" i="13" s="1"/>
  <c r="CS42" i="13" a="1"/>
  <c r="CS42" i="13" s="1"/>
  <c r="CT42" i="13" a="1"/>
  <c r="CT42" i="13" s="1"/>
  <c r="CV42" i="13" a="1"/>
  <c r="CV42" i="13" s="1"/>
  <c r="CS43" i="13" a="1"/>
  <c r="CS43" i="13" s="1"/>
  <c r="CT43" i="13" a="1"/>
  <c r="CT43" i="13" s="1"/>
  <c r="CV43" i="13" a="1"/>
  <c r="CV43" i="13" s="1"/>
  <c r="CS44" i="13" a="1"/>
  <c r="CS44" i="13"/>
  <c r="CT44" i="13" a="1"/>
  <c r="CT44" i="13" s="1"/>
  <c r="CV44" i="13" a="1"/>
  <c r="CV44" i="13" s="1"/>
  <c r="CS45" i="13" a="1"/>
  <c r="CS45" i="13" s="1"/>
  <c r="CT45" i="13" a="1"/>
  <c r="CT45" i="13" s="1"/>
  <c r="CV45" i="13" a="1"/>
  <c r="CV45" i="13" s="1"/>
  <c r="CS46" i="13" a="1"/>
  <c r="CS46" i="13" s="1"/>
  <c r="CT46" i="13" a="1"/>
  <c r="CT46" i="13" s="1"/>
  <c r="CV46" i="13" a="1"/>
  <c r="CV46" i="13" s="1"/>
  <c r="CS47" i="13" a="1"/>
  <c r="CS47" i="13" s="1"/>
  <c r="CT47" i="13" a="1"/>
  <c r="CT47" i="13" s="1"/>
  <c r="CV47" i="13" a="1"/>
  <c r="CV47" i="13" s="1"/>
  <c r="CS48" i="13" a="1"/>
  <c r="CS48" i="13" s="1"/>
  <c r="CT48" i="13" a="1"/>
  <c r="CT48" i="13" s="1"/>
  <c r="CV48" i="13" a="1"/>
  <c r="CV48" i="13" s="1"/>
  <c r="CS49" i="13" a="1"/>
  <c r="CS49" i="13" s="1"/>
  <c r="CT49" i="13" a="1"/>
  <c r="CT49" i="13" s="1"/>
  <c r="CV49" i="13" a="1"/>
  <c r="CV49" i="13" s="1"/>
  <c r="CS50" i="13" a="1"/>
  <c r="CS50" i="13" s="1"/>
  <c r="CT50" i="13" a="1"/>
  <c r="CT50" i="13" s="1"/>
  <c r="CV50" i="13" a="1"/>
  <c r="CV50" i="13" s="1"/>
  <c r="CS51" i="13" a="1"/>
  <c r="CS51" i="13" s="1"/>
  <c r="CT51" i="13" a="1"/>
  <c r="CT51" i="13" s="1"/>
  <c r="CV51" i="13" a="1"/>
  <c r="CV51" i="13" s="1"/>
  <c r="CS52" i="13" a="1"/>
  <c r="CS52" i="13"/>
  <c r="CT52" i="13" a="1"/>
  <c r="CT52" i="13" s="1"/>
  <c r="CV52" i="13" a="1"/>
  <c r="CV52" i="13" s="1"/>
  <c r="CS53" i="13" a="1"/>
  <c r="CS53" i="13" s="1"/>
  <c r="CT53" i="13" a="1"/>
  <c r="CT53" i="13" s="1"/>
  <c r="CV53" i="13" a="1"/>
  <c r="CV53" i="13" s="1"/>
  <c r="CS54" i="13" a="1"/>
  <c r="CS54" i="13" s="1"/>
  <c r="CT54" i="13" a="1"/>
  <c r="CT54" i="13" s="1"/>
  <c r="CV54" i="13" a="1"/>
  <c r="CV54" i="13" s="1"/>
  <c r="CS55" i="13" a="1"/>
  <c r="CS55" i="13" s="1"/>
  <c r="CT55" i="13" a="1"/>
  <c r="CT55" i="13" s="1"/>
  <c r="CV55" i="13" a="1"/>
  <c r="CV55" i="13" s="1"/>
  <c r="CS56" i="13" a="1"/>
  <c r="CS56" i="13" s="1"/>
  <c r="CT56" i="13" a="1"/>
  <c r="CT56" i="13" s="1"/>
  <c r="CV56" i="13" a="1"/>
  <c r="CV56" i="13" s="1"/>
  <c r="CS57" i="13" a="1"/>
  <c r="CS57" i="13" s="1"/>
  <c r="CT57" i="13" a="1"/>
  <c r="CT57" i="13" s="1"/>
  <c r="CV57" i="13" a="1"/>
  <c r="CV57" i="13" s="1"/>
  <c r="CS58" i="13" a="1"/>
  <c r="CS58" i="13" s="1"/>
  <c r="CT58" i="13" a="1"/>
  <c r="CT58" i="13" s="1"/>
  <c r="CV58" i="13" a="1"/>
  <c r="CV58" i="13" s="1"/>
  <c r="CS59" i="13" a="1"/>
  <c r="CS59" i="13" s="1"/>
  <c r="CT59" i="13" a="1"/>
  <c r="CT59" i="13" s="1"/>
  <c r="CV59" i="13" a="1"/>
  <c r="CV59" i="13" s="1"/>
  <c r="CS60" i="13" a="1"/>
  <c r="CS60" i="13"/>
  <c r="CT60" i="13" a="1"/>
  <c r="CT60" i="13" s="1"/>
  <c r="CV60" i="13" a="1"/>
  <c r="CV60" i="13" s="1"/>
  <c r="CS61" i="13" a="1"/>
  <c r="CS61" i="13" s="1"/>
  <c r="CT61" i="13" a="1"/>
  <c r="CT61" i="13" s="1"/>
  <c r="CV61" i="13" a="1"/>
  <c r="CV61" i="13" s="1"/>
  <c r="CS62" i="13" a="1"/>
  <c r="CS62" i="13" s="1"/>
  <c r="CT62" i="13" a="1"/>
  <c r="CT62" i="13" s="1"/>
  <c r="CV62" i="13" a="1"/>
  <c r="CV62" i="13" s="1"/>
  <c r="CS63" i="13" a="1"/>
  <c r="CS63" i="13" s="1"/>
  <c r="CT63" i="13" a="1"/>
  <c r="CT63" i="13" s="1"/>
  <c r="CV63" i="13" a="1"/>
  <c r="CV63" i="13" s="1"/>
  <c r="CS64" i="13" a="1"/>
  <c r="CS64" i="13" s="1"/>
  <c r="CT64" i="13" a="1"/>
  <c r="CT64" i="13" s="1"/>
  <c r="CV64" i="13" a="1"/>
  <c r="CV64" i="13" s="1"/>
  <c r="CS65" i="13" a="1"/>
  <c r="CS65" i="13" s="1"/>
  <c r="CT65" i="13" a="1"/>
  <c r="CT65" i="13"/>
  <c r="CV65" i="13" a="1"/>
  <c r="CV65" i="13" s="1"/>
  <c r="CS66" i="13" a="1"/>
  <c r="CS66" i="13" s="1"/>
  <c r="CT66" i="13" a="1"/>
  <c r="CT66" i="13" s="1"/>
  <c r="CV66" i="13" a="1"/>
  <c r="CV66" i="13" s="1"/>
  <c r="CS67" i="13" a="1"/>
  <c r="CS67" i="13" s="1"/>
  <c r="CT67" i="13" a="1"/>
  <c r="CT67" i="13" s="1"/>
  <c r="CV67" i="13" a="1"/>
  <c r="CV67" i="13" s="1"/>
  <c r="CS68" i="13" a="1"/>
  <c r="CS68" i="13" s="1"/>
  <c r="CT68" i="13" a="1"/>
  <c r="CT68" i="13" s="1"/>
  <c r="CV68" i="13" a="1"/>
  <c r="CV68" i="13" s="1"/>
  <c r="CS69" i="13" a="1"/>
  <c r="CS69" i="13" s="1"/>
  <c r="CT69" i="13" a="1"/>
  <c r="CT69" i="13" s="1"/>
  <c r="CV69" i="13" a="1"/>
  <c r="CV69" i="13" s="1"/>
  <c r="V14" i="51"/>
  <c r="D6" i="50"/>
  <c r="D8" i="50"/>
  <c r="D12" i="50"/>
  <c r="D7" i="50"/>
  <c r="D10" i="50"/>
  <c r="D11" i="50"/>
  <c r="V11" i="50" s="1"/>
  <c r="D13" i="50"/>
  <c r="D14" i="50"/>
  <c r="V14" i="50" s="1"/>
  <c r="D9" i="50"/>
  <c r="D15" i="50"/>
  <c r="V15" i="50" s="1"/>
  <c r="K6" i="50"/>
  <c r="K7" i="50"/>
  <c r="K12" i="50"/>
  <c r="K13" i="50"/>
  <c r="K6" i="43"/>
  <c r="K7" i="43"/>
  <c r="K12" i="43"/>
  <c r="K13" i="43"/>
  <c r="CP7" i="13"/>
  <c r="Z14" i="51"/>
  <c r="AD13" i="51" s="1"/>
  <c r="AE13" i="51" s="1"/>
  <c r="AF13" i="51" s="1"/>
  <c r="CJ7" i="13"/>
  <c r="CL8" i="13"/>
  <c r="CI8" i="13"/>
  <c r="CN8" i="13"/>
  <c r="CO8" i="13"/>
  <c r="CJ8" i="13"/>
  <c r="CL9" i="13"/>
  <c r="CN9" i="13"/>
  <c r="CP9" i="13"/>
  <c r="CJ9" i="13"/>
  <c r="CL10" i="13"/>
  <c r="CN10" i="13"/>
  <c r="CP10" i="13"/>
  <c r="CJ10" i="13"/>
  <c r="CL11" i="13"/>
  <c r="CN11" i="13"/>
  <c r="CP11" i="13"/>
  <c r="CJ11" i="13"/>
  <c r="CL12" i="13"/>
  <c r="CN12" i="13"/>
  <c r="CP12" i="13"/>
  <c r="CJ12" i="13"/>
  <c r="CL13" i="13"/>
  <c r="CN13" i="13"/>
  <c r="CP13" i="13"/>
  <c r="CJ13" i="13"/>
  <c r="CL14" i="13"/>
  <c r="CN14" i="13"/>
  <c r="CP14" i="13"/>
  <c r="CJ14" i="13"/>
  <c r="CL15" i="13"/>
  <c r="CN15" i="13"/>
  <c r="CP15" i="13"/>
  <c r="CJ15" i="13"/>
  <c r="CL16" i="13"/>
  <c r="CN16" i="13"/>
  <c r="CP16" i="13"/>
  <c r="CJ16" i="13"/>
  <c r="CL17" i="13"/>
  <c r="CN17" i="13"/>
  <c r="CP17" i="13"/>
  <c r="CJ17" i="13"/>
  <c r="CL18" i="13"/>
  <c r="CN18" i="13"/>
  <c r="CP18" i="13"/>
  <c r="CJ18" i="13"/>
  <c r="CL19" i="13"/>
  <c r="CN19" i="13"/>
  <c r="CJ19" i="13"/>
  <c r="CP6" i="13"/>
  <c r="CJ6" i="13"/>
  <c r="B14" i="70"/>
  <c r="B15" i="70"/>
  <c r="B16" i="70"/>
  <c r="B17" i="70"/>
  <c r="B18" i="70"/>
  <c r="B19" i="70"/>
  <c r="B20" i="70"/>
  <c r="B21" i="70"/>
  <c r="B22" i="70"/>
  <c r="B23" i="70"/>
  <c r="B24" i="70"/>
  <c r="B25" i="70"/>
  <c r="B26" i="70"/>
  <c r="B27" i="70"/>
  <c r="B28" i="70"/>
  <c r="B29" i="70"/>
  <c r="B30" i="70"/>
  <c r="B31" i="70"/>
  <c r="B32" i="70"/>
  <c r="B33" i="70"/>
  <c r="B34" i="70"/>
  <c r="B35" i="70"/>
  <c r="B36" i="70"/>
  <c r="B37" i="70"/>
  <c r="B38" i="70"/>
  <c r="B39" i="70"/>
  <c r="B40" i="70"/>
  <c r="B41" i="70"/>
  <c r="B42" i="70"/>
  <c r="B43" i="70"/>
  <c r="B44" i="70"/>
  <c r="B45" i="70"/>
  <c r="B46" i="70"/>
  <c r="B47" i="70"/>
  <c r="B48" i="70"/>
  <c r="B49" i="70"/>
  <c r="B50" i="70"/>
  <c r="B51" i="70"/>
  <c r="B52" i="70"/>
  <c r="B53" i="70"/>
  <c r="B54" i="70"/>
  <c r="B55" i="70"/>
  <c r="B56" i="70"/>
  <c r="B57" i="70"/>
  <c r="B58" i="70"/>
  <c r="B59" i="70"/>
  <c r="B60" i="70"/>
  <c r="B61" i="70"/>
  <c r="B62" i="70"/>
  <c r="B63" i="70"/>
  <c r="B64" i="70"/>
  <c r="B65" i="70"/>
  <c r="B66" i="70"/>
  <c r="B67" i="70"/>
  <c r="B68" i="70"/>
  <c r="B69" i="70"/>
  <c r="B70" i="70"/>
  <c r="B71" i="70"/>
  <c r="B72" i="70"/>
  <c r="B73" i="70"/>
  <c r="B74" i="70"/>
  <c r="B75" i="70"/>
  <c r="B76" i="70"/>
  <c r="A1" i="70"/>
  <c r="CH20" i="13"/>
  <c r="CL20" i="13"/>
  <c r="CI20" i="13"/>
  <c r="CN20" i="13"/>
  <c r="CJ20" i="13"/>
  <c r="CP19" i="13"/>
  <c r="CP8" i="13"/>
  <c r="V15" i="43"/>
  <c r="CS9" i="13" a="1"/>
  <c r="CS9" i="13" s="1"/>
  <c r="CS8" i="13" a="1"/>
  <c r="CS8" i="13" s="1"/>
  <c r="CS7" i="13" a="1"/>
  <c r="CS7" i="13" s="1"/>
  <c r="CS6" i="13" a="1"/>
  <c r="CS6" i="13" s="1"/>
  <c r="CT7" i="13" a="1"/>
  <c r="CT7" i="13" s="1"/>
  <c r="CV7" i="13" a="1"/>
  <c r="CV7" i="13" s="1"/>
  <c r="CT8" i="13" a="1"/>
  <c r="CT8" i="13" s="1"/>
  <c r="CV8" i="13" a="1"/>
  <c r="CV8" i="13"/>
  <c r="I29" i="9"/>
  <c r="CT9" i="13" a="1"/>
  <c r="CT9" i="13" s="1"/>
  <c r="CV9" i="13" a="1"/>
  <c r="CV9" i="13" s="1"/>
  <c r="CT6" i="13" a="1"/>
  <c r="CT6" i="13" s="1"/>
  <c r="CV6" i="13" a="1"/>
  <c r="CV6" i="13"/>
  <c r="I28" i="9"/>
  <c r="G28" i="9"/>
  <c r="G37" i="9" s="1"/>
  <c r="H28" i="9"/>
  <c r="H37" i="9" s="1"/>
  <c r="J28" i="9"/>
  <c r="J37" i="9" s="1"/>
  <c r="K28" i="9"/>
  <c r="L28" i="9"/>
  <c r="M28" i="9"/>
  <c r="CK9" i="13"/>
  <c r="CM9" i="13"/>
  <c r="I37" i="9"/>
  <c r="CK8" i="13"/>
  <c r="CM8" i="13"/>
  <c r="CK7" i="13"/>
  <c r="Z9" i="51" s="1"/>
  <c r="AA9" i="51" s="1"/>
  <c r="AB9" i="51" s="1"/>
  <c r="CM7" i="13"/>
  <c r="CK6" i="13"/>
  <c r="CM6" i="13"/>
  <c r="CK20" i="13"/>
  <c r="CM20" i="13"/>
  <c r="CK19" i="13"/>
  <c r="CM19" i="13"/>
  <c r="CK18" i="13"/>
  <c r="CM18" i="13"/>
  <c r="CK17" i="13"/>
  <c r="CM17" i="13"/>
  <c r="CK16" i="13"/>
  <c r="CM16" i="13"/>
  <c r="CK15" i="13"/>
  <c r="CM15" i="13"/>
  <c r="CK14" i="13"/>
  <c r="CM14" i="13"/>
  <c r="CK13" i="13"/>
  <c r="CM13" i="13"/>
  <c r="CK12" i="13"/>
  <c r="CM12" i="13"/>
  <c r="CK11" i="13"/>
  <c r="CM11" i="13"/>
  <c r="CK10" i="13"/>
  <c r="CM10" i="13"/>
  <c r="Y23" i="51"/>
  <c r="AE14" i="51"/>
  <c r="AF14" i="51" s="1"/>
  <c r="CO7" i="13"/>
  <c r="K8" i="51"/>
  <c r="K9" i="51"/>
  <c r="K10" i="51"/>
  <c r="K11" i="51"/>
  <c r="K14" i="51"/>
  <c r="K15" i="51"/>
  <c r="Y15" i="51"/>
  <c r="Y14" i="51"/>
  <c r="Y13" i="51"/>
  <c r="Y12" i="51"/>
  <c r="Y11" i="51"/>
  <c r="Y10" i="51"/>
  <c r="Y9" i="51"/>
  <c r="Y8" i="51"/>
  <c r="Y7" i="51"/>
  <c r="Y6" i="51"/>
  <c r="C1" i="51"/>
  <c r="Y23" i="50"/>
  <c r="AE14" i="50"/>
  <c r="AF14" i="50" s="1"/>
  <c r="K8" i="50"/>
  <c r="K9" i="50"/>
  <c r="K10" i="50"/>
  <c r="K11" i="50"/>
  <c r="K14" i="50"/>
  <c r="K15" i="50"/>
  <c r="Y15" i="50"/>
  <c r="Y14" i="50"/>
  <c r="Y13" i="50"/>
  <c r="Y12" i="50"/>
  <c r="Y11" i="50"/>
  <c r="Y10" i="50"/>
  <c r="Y9" i="50"/>
  <c r="Y8" i="50"/>
  <c r="Y7" i="50"/>
  <c r="Y6" i="50"/>
  <c r="C1" i="50"/>
  <c r="CO6" i="13"/>
  <c r="CS11" i="13" a="1"/>
  <c r="CS11" i="13"/>
  <c r="CS12" i="13" a="1"/>
  <c r="CS12" i="13"/>
  <c r="CT11" i="13" a="1"/>
  <c r="CT11" i="13" s="1"/>
  <c r="CT12" i="13" a="1"/>
  <c r="CT12" i="13" s="1"/>
  <c r="CV11" i="13" a="1"/>
  <c r="CV11" i="13"/>
  <c r="CV12" i="13" a="1"/>
  <c r="CV12" i="13" s="1"/>
  <c r="CS10" i="13" a="1"/>
  <c r="CS10" i="13" s="1"/>
  <c r="CT10" i="13" a="1"/>
  <c r="CT10" i="13" s="1"/>
  <c r="CV10" i="13" a="1"/>
  <c r="CV10" i="13" s="1"/>
  <c r="CO13" i="13"/>
  <c r="CS14" i="13" a="1"/>
  <c r="CS14" i="13" s="1"/>
  <c r="CT14" i="13" a="1"/>
  <c r="CT14" i="13" s="1"/>
  <c r="CV14" i="13" a="1"/>
  <c r="CV14" i="13" s="1"/>
  <c r="CS13" i="13" a="1"/>
  <c r="CS13" i="13"/>
  <c r="CT13" i="13" a="1"/>
  <c r="CT13" i="13" s="1"/>
  <c r="CV13" i="13" a="1"/>
  <c r="CV13" i="13" s="1"/>
  <c r="K10" i="43"/>
  <c r="K9" i="43"/>
  <c r="K11" i="43"/>
  <c r="Y23" i="43"/>
  <c r="AE14" i="43"/>
  <c r="AF14" i="43" s="1"/>
  <c r="K8" i="43"/>
  <c r="K14" i="43"/>
  <c r="K15" i="43"/>
  <c r="Y15" i="43"/>
  <c r="Y14" i="43"/>
  <c r="Y13" i="43"/>
  <c r="Y12" i="43"/>
  <c r="Y11" i="43"/>
  <c r="Y10" i="43"/>
  <c r="Y9" i="43"/>
  <c r="Y8" i="43"/>
  <c r="Y7" i="43"/>
  <c r="Y6" i="43"/>
  <c r="C1" i="43"/>
  <c r="CQ15" i="13"/>
  <c r="CV15" i="13" a="1"/>
  <c r="CV15" i="13" s="1"/>
  <c r="CT15" i="13" a="1"/>
  <c r="CT15" i="13" s="1"/>
  <c r="CS15" i="13" a="1"/>
  <c r="CS15" i="13" s="1"/>
  <c r="E74" i="9"/>
  <c r="E76" i="9"/>
  <c r="E73" i="9"/>
  <c r="CO15" i="13"/>
  <c r="CO14" i="13"/>
  <c r="CO12" i="13"/>
  <c r="CO11" i="13"/>
  <c r="CO10" i="13"/>
  <c r="CO9" i="13"/>
  <c r="M5" i="11"/>
  <c r="N5" i="11" s="1"/>
  <c r="M6" i="11"/>
  <c r="N6" i="11" s="1"/>
  <c r="M7" i="11"/>
  <c r="N7" i="11" s="1"/>
  <c r="M8" i="11"/>
  <c r="N8" i="11" s="1"/>
  <c r="M9" i="11"/>
  <c r="N9" i="11" s="1"/>
  <c r="CF10" i="13"/>
  <c r="M10" i="11"/>
  <c r="N10" i="11" s="1"/>
  <c r="M11" i="11"/>
  <c r="N11" i="11" s="1"/>
  <c r="M12" i="11"/>
  <c r="N12" i="11" s="1"/>
  <c r="M13" i="11"/>
  <c r="N13" i="11" s="1"/>
  <c r="M14" i="11"/>
  <c r="N14" i="11" s="1"/>
  <c r="M15" i="11"/>
  <c r="N15" i="11" s="1"/>
  <c r="I3" i="11"/>
  <c r="H3" i="11"/>
  <c r="CQ16" i="13"/>
  <c r="CQ17" i="13"/>
  <c r="CQ18" i="13"/>
  <c r="CQ19" i="13"/>
  <c r="CQ20" i="13"/>
  <c r="CQ21" i="13"/>
  <c r="CQ22" i="13"/>
  <c r="CQ23" i="13"/>
  <c r="CQ24" i="13"/>
  <c r="CQ25" i="13"/>
  <c r="CQ26" i="13"/>
  <c r="CQ27" i="13"/>
  <c r="CQ28" i="13"/>
  <c r="CQ29" i="13"/>
  <c r="CQ30" i="13"/>
  <c r="CQ31" i="13"/>
  <c r="CQ32" i="13"/>
  <c r="CQ33" i="13"/>
  <c r="CQ34" i="13"/>
  <c r="CQ35" i="13"/>
  <c r="CQ36" i="13"/>
  <c r="CQ37" i="13"/>
  <c r="CQ38" i="13"/>
  <c r="CQ39" i="13"/>
  <c r="CQ40" i="13"/>
  <c r="CQ41" i="13"/>
  <c r="CQ42" i="13"/>
  <c r="CQ43" i="13"/>
  <c r="CQ44" i="13"/>
  <c r="CQ45" i="13"/>
  <c r="CQ46" i="13"/>
  <c r="CQ47" i="13"/>
  <c r="CQ48" i="13"/>
  <c r="CQ49" i="13"/>
  <c r="CQ50" i="13"/>
  <c r="CQ51" i="13"/>
  <c r="CQ52" i="13"/>
  <c r="CQ53" i="13"/>
  <c r="CQ54" i="13"/>
  <c r="CQ55" i="13"/>
  <c r="CQ56" i="13"/>
  <c r="CQ57" i="13"/>
  <c r="CQ58" i="13"/>
  <c r="CQ59" i="13"/>
  <c r="CQ60" i="13"/>
  <c r="CQ61" i="13"/>
  <c r="CQ62" i="13"/>
  <c r="CQ63" i="13"/>
  <c r="CQ64" i="13"/>
  <c r="CQ65" i="13"/>
  <c r="CQ66" i="13"/>
  <c r="CQ67" i="13"/>
  <c r="CQ68" i="13"/>
  <c r="CQ69" i="13"/>
  <c r="CP20" i="13"/>
  <c r="CP21" i="13"/>
  <c r="CP22" i="13"/>
  <c r="CP23" i="13"/>
  <c r="CP24" i="13"/>
  <c r="CP25" i="13"/>
  <c r="CP26" i="13"/>
  <c r="CP27" i="13"/>
  <c r="CP28" i="13"/>
  <c r="CP29" i="13"/>
  <c r="CP30" i="13"/>
  <c r="CP31" i="13"/>
  <c r="CP32" i="13"/>
  <c r="CP33" i="13"/>
  <c r="CP34" i="13"/>
  <c r="CP35" i="13"/>
  <c r="CP36" i="13"/>
  <c r="CP37" i="13"/>
  <c r="CP38" i="13"/>
  <c r="CP39" i="13"/>
  <c r="CP40" i="13"/>
  <c r="CP41" i="13"/>
  <c r="CP42" i="13"/>
  <c r="CP43" i="13"/>
  <c r="CP44" i="13"/>
  <c r="CP45" i="13"/>
  <c r="CP46" i="13"/>
  <c r="CP47" i="13"/>
  <c r="CP48" i="13"/>
  <c r="CP49" i="13"/>
  <c r="CP50" i="13"/>
  <c r="CP51" i="13"/>
  <c r="CP52" i="13"/>
  <c r="CP53" i="13"/>
  <c r="CP54" i="13"/>
  <c r="CP55" i="13"/>
  <c r="CP56" i="13"/>
  <c r="CP57" i="13"/>
  <c r="CP58" i="13"/>
  <c r="CP59" i="13"/>
  <c r="CP60" i="13"/>
  <c r="CP61" i="13"/>
  <c r="CP62" i="13"/>
  <c r="CP63" i="13"/>
  <c r="CP64" i="13"/>
  <c r="CP65" i="13"/>
  <c r="CP66" i="13"/>
  <c r="CP67" i="13"/>
  <c r="CP68" i="13"/>
  <c r="CP69" i="13"/>
  <c r="CP70" i="13"/>
  <c r="CO16" i="13"/>
  <c r="CO17" i="13"/>
  <c r="CO18" i="13"/>
  <c r="CO19" i="13"/>
  <c r="CO20" i="13"/>
  <c r="CO21" i="13"/>
  <c r="CO22" i="13"/>
  <c r="CO23" i="13"/>
  <c r="CO24" i="13"/>
  <c r="CO25" i="13"/>
  <c r="CO26" i="13"/>
  <c r="CO27" i="13"/>
  <c r="CO28" i="13"/>
  <c r="CO29" i="13"/>
  <c r="CO30" i="13"/>
  <c r="CO31" i="13"/>
  <c r="CO32" i="13"/>
  <c r="CO33" i="13"/>
  <c r="CO34" i="13"/>
  <c r="CO35" i="13"/>
  <c r="CO36" i="13"/>
  <c r="CO37" i="13"/>
  <c r="CO38" i="13"/>
  <c r="CO39" i="13"/>
  <c r="CO40" i="13"/>
  <c r="CO41" i="13"/>
  <c r="CO42" i="13"/>
  <c r="CO43" i="13"/>
  <c r="CO44" i="13"/>
  <c r="CO45" i="13"/>
  <c r="CO46" i="13"/>
  <c r="CO47" i="13"/>
  <c r="CO48" i="13"/>
  <c r="CO49" i="13"/>
  <c r="CO50" i="13"/>
  <c r="CO51" i="13"/>
  <c r="CO52" i="13"/>
  <c r="CO53" i="13"/>
  <c r="CO54" i="13"/>
  <c r="CO55" i="13"/>
  <c r="CO56" i="13"/>
  <c r="CO57" i="13"/>
  <c r="CO58" i="13"/>
  <c r="CO59" i="13"/>
  <c r="CO60" i="13"/>
  <c r="CO61" i="13"/>
  <c r="CO62" i="13"/>
  <c r="CO63" i="13"/>
  <c r="CO64" i="13"/>
  <c r="CO65" i="13"/>
  <c r="CO66" i="13"/>
  <c r="CO67" i="13"/>
  <c r="CO68" i="13"/>
  <c r="CO69" i="13"/>
  <c r="CN21" i="13"/>
  <c r="CN22" i="13"/>
  <c r="CN23" i="13"/>
  <c r="CN24" i="13"/>
  <c r="CN25" i="13"/>
  <c r="CN26" i="13"/>
  <c r="CN27" i="13"/>
  <c r="CN28" i="13"/>
  <c r="CN29" i="13"/>
  <c r="CN30" i="13"/>
  <c r="CN31" i="13"/>
  <c r="CN32" i="13"/>
  <c r="CN33" i="13"/>
  <c r="CN34" i="13"/>
  <c r="CN35" i="13"/>
  <c r="CN36" i="13"/>
  <c r="CN37" i="13"/>
  <c r="CN38" i="13"/>
  <c r="CN39" i="13"/>
  <c r="CN40" i="13"/>
  <c r="CN41" i="13"/>
  <c r="CN42" i="13"/>
  <c r="CN43" i="13"/>
  <c r="CN44" i="13"/>
  <c r="CN45" i="13"/>
  <c r="CN46" i="13"/>
  <c r="CN47" i="13"/>
  <c r="CN48" i="13"/>
  <c r="CN49" i="13"/>
  <c r="CN50" i="13"/>
  <c r="CN51" i="13"/>
  <c r="CN52" i="13"/>
  <c r="CN53" i="13"/>
  <c r="CN54" i="13"/>
  <c r="CN55" i="13"/>
  <c r="CN56" i="13"/>
  <c r="CN57" i="13"/>
  <c r="CN58" i="13"/>
  <c r="CN59" i="13"/>
  <c r="CN60" i="13"/>
  <c r="CN61" i="13"/>
  <c r="CN62" i="13"/>
  <c r="CN63" i="13"/>
  <c r="CN64" i="13"/>
  <c r="CN65" i="13"/>
  <c r="CN66" i="13"/>
  <c r="CN67" i="13"/>
  <c r="CN68" i="13"/>
  <c r="CN69" i="13"/>
  <c r="CM21" i="13"/>
  <c r="CM22" i="13"/>
  <c r="CM23" i="13"/>
  <c r="CM24" i="13"/>
  <c r="CM25" i="13"/>
  <c r="CM26" i="13"/>
  <c r="CM27" i="13"/>
  <c r="CM28" i="13"/>
  <c r="CM29" i="13"/>
  <c r="CM30" i="13"/>
  <c r="CM31" i="13"/>
  <c r="CM32" i="13"/>
  <c r="CM33" i="13"/>
  <c r="CM34" i="13"/>
  <c r="CM35" i="13"/>
  <c r="CM36" i="13"/>
  <c r="CM37" i="13"/>
  <c r="CM38" i="13"/>
  <c r="CM39" i="13"/>
  <c r="CM40" i="13"/>
  <c r="CM41" i="13"/>
  <c r="CM42" i="13"/>
  <c r="CM43" i="13"/>
  <c r="CM44" i="13"/>
  <c r="CM45" i="13"/>
  <c r="CM46" i="13"/>
  <c r="CM47" i="13"/>
  <c r="CM48" i="13"/>
  <c r="CM49" i="13"/>
  <c r="CM50" i="13"/>
  <c r="CM51" i="13"/>
  <c r="CM52" i="13"/>
  <c r="CM53" i="13"/>
  <c r="CM54" i="13"/>
  <c r="CM55" i="13"/>
  <c r="CM56" i="13"/>
  <c r="CM57" i="13"/>
  <c r="CM58" i="13"/>
  <c r="CM59" i="13"/>
  <c r="CM60" i="13"/>
  <c r="CM61" i="13"/>
  <c r="CM62" i="13"/>
  <c r="CM63" i="13"/>
  <c r="CM64" i="13"/>
  <c r="CM65" i="13"/>
  <c r="CM66" i="13"/>
  <c r="CM67" i="13"/>
  <c r="CM68" i="13"/>
  <c r="CM69" i="13"/>
  <c r="CL21" i="13"/>
  <c r="CL22" i="13"/>
  <c r="CL23" i="13"/>
  <c r="CL24" i="13"/>
  <c r="CL25" i="13"/>
  <c r="CL26" i="13"/>
  <c r="CL27" i="13"/>
  <c r="CL28" i="13"/>
  <c r="CL29" i="13"/>
  <c r="CL30" i="13"/>
  <c r="CL31" i="13"/>
  <c r="CL32" i="13"/>
  <c r="CL33" i="13"/>
  <c r="CL34" i="13"/>
  <c r="CL35" i="13"/>
  <c r="CL36" i="13"/>
  <c r="CL37" i="13"/>
  <c r="CL38" i="13"/>
  <c r="CL39" i="13"/>
  <c r="CL40" i="13"/>
  <c r="CL41" i="13"/>
  <c r="CL42" i="13"/>
  <c r="CL43" i="13"/>
  <c r="CL44" i="13"/>
  <c r="CL45" i="13"/>
  <c r="CL46" i="13"/>
  <c r="CL47" i="13"/>
  <c r="CL48" i="13"/>
  <c r="CL49" i="13"/>
  <c r="CL50" i="13"/>
  <c r="CL51" i="13"/>
  <c r="CL52" i="13"/>
  <c r="CL53" i="13"/>
  <c r="CL54" i="13"/>
  <c r="CL55" i="13"/>
  <c r="CL56" i="13"/>
  <c r="CL57" i="13"/>
  <c r="CL58" i="13"/>
  <c r="CL59" i="13"/>
  <c r="CL60" i="13"/>
  <c r="CL61" i="13"/>
  <c r="CL62" i="13"/>
  <c r="CL63" i="13"/>
  <c r="CL64" i="13"/>
  <c r="CL65" i="13"/>
  <c r="CL66" i="13"/>
  <c r="CL67" i="13"/>
  <c r="CL68" i="13"/>
  <c r="CL69" i="13"/>
  <c r="CK21" i="13"/>
  <c r="CK22" i="13"/>
  <c r="CK23" i="13"/>
  <c r="CK24" i="13"/>
  <c r="CK25" i="13"/>
  <c r="CK26" i="13"/>
  <c r="CK27" i="13"/>
  <c r="CK28" i="13"/>
  <c r="CK29" i="13"/>
  <c r="CK30" i="13"/>
  <c r="CK31" i="13"/>
  <c r="CK32" i="13"/>
  <c r="CK33" i="13"/>
  <c r="CK34" i="13"/>
  <c r="CK35" i="13"/>
  <c r="CK36" i="13"/>
  <c r="CK37" i="13"/>
  <c r="CK38" i="13"/>
  <c r="CK39" i="13"/>
  <c r="CK40" i="13"/>
  <c r="CK41" i="13"/>
  <c r="CK42" i="13"/>
  <c r="CK43" i="13"/>
  <c r="CK44" i="13"/>
  <c r="CK45" i="13"/>
  <c r="CK46" i="13"/>
  <c r="CK47" i="13"/>
  <c r="CK48" i="13"/>
  <c r="CK49" i="13"/>
  <c r="CK50" i="13"/>
  <c r="CK51" i="13"/>
  <c r="CK52" i="13"/>
  <c r="CK53" i="13"/>
  <c r="CK54" i="13"/>
  <c r="CK55" i="13"/>
  <c r="CK56" i="13"/>
  <c r="CK57" i="13"/>
  <c r="CK58" i="13"/>
  <c r="CK59" i="13"/>
  <c r="CK60" i="13"/>
  <c r="CK61" i="13"/>
  <c r="CK62" i="13"/>
  <c r="CK63" i="13"/>
  <c r="CK64" i="13"/>
  <c r="CK65" i="13"/>
  <c r="CK66" i="13"/>
  <c r="CK67" i="13"/>
  <c r="CK68" i="13"/>
  <c r="CK69" i="13"/>
  <c r="CJ21" i="13"/>
  <c r="CJ22" i="13"/>
  <c r="CJ23" i="13"/>
  <c r="CJ24" i="13"/>
  <c r="CJ25" i="13"/>
  <c r="CJ26" i="13"/>
  <c r="CJ27" i="13"/>
  <c r="CJ28" i="13"/>
  <c r="CJ29" i="13"/>
  <c r="CJ30" i="13"/>
  <c r="CJ31" i="13"/>
  <c r="CJ32" i="13"/>
  <c r="CJ33" i="13"/>
  <c r="CJ34" i="13"/>
  <c r="CJ35" i="13"/>
  <c r="CJ36" i="13"/>
  <c r="CJ37" i="13"/>
  <c r="CJ38" i="13"/>
  <c r="CJ39" i="13"/>
  <c r="CJ40" i="13"/>
  <c r="CJ41" i="13"/>
  <c r="CJ42" i="13"/>
  <c r="CJ43" i="13"/>
  <c r="CJ44" i="13"/>
  <c r="CJ45" i="13"/>
  <c r="CJ46" i="13"/>
  <c r="CJ47" i="13"/>
  <c r="CJ48" i="13"/>
  <c r="CJ49" i="13"/>
  <c r="CJ50" i="13"/>
  <c r="CJ51" i="13"/>
  <c r="CJ52" i="13"/>
  <c r="CJ53" i="13"/>
  <c r="CJ54" i="13"/>
  <c r="CJ55" i="13"/>
  <c r="CJ56" i="13"/>
  <c r="CJ57" i="13"/>
  <c r="CJ58" i="13"/>
  <c r="CJ59" i="13"/>
  <c r="CJ60" i="13"/>
  <c r="CJ61" i="13"/>
  <c r="CJ62" i="13"/>
  <c r="CJ63" i="13"/>
  <c r="CJ64" i="13"/>
  <c r="CJ65" i="13"/>
  <c r="CJ66" i="13"/>
  <c r="CJ67" i="13"/>
  <c r="CJ68" i="13"/>
  <c r="CJ69" i="13"/>
  <c r="CI23" i="13"/>
  <c r="CI24" i="13"/>
  <c r="CI25" i="13"/>
  <c r="CI26" i="13"/>
  <c r="CI27" i="13"/>
  <c r="CI28" i="13"/>
  <c r="CI29" i="13"/>
  <c r="CI30" i="13"/>
  <c r="CI31" i="13"/>
  <c r="CI32" i="13"/>
  <c r="CI33" i="13"/>
  <c r="CI34" i="13"/>
  <c r="CI35" i="13"/>
  <c r="CI36" i="13"/>
  <c r="CI37" i="13"/>
  <c r="CI38" i="13"/>
  <c r="CI39" i="13"/>
  <c r="CI40" i="13"/>
  <c r="CI41" i="13"/>
  <c r="CI42" i="13"/>
  <c r="CI43" i="13"/>
  <c r="CI44" i="13"/>
  <c r="CI45" i="13"/>
  <c r="CI46" i="13"/>
  <c r="CI47" i="13"/>
  <c r="CI48" i="13"/>
  <c r="CI49" i="13"/>
  <c r="CI50" i="13"/>
  <c r="CI51" i="13"/>
  <c r="CI52" i="13"/>
  <c r="CI53" i="13"/>
  <c r="CI54" i="13"/>
  <c r="CI55" i="13"/>
  <c r="CI56" i="13"/>
  <c r="CI57" i="13"/>
  <c r="CI58" i="13"/>
  <c r="CI59" i="13"/>
  <c r="CI60" i="13"/>
  <c r="CI61" i="13"/>
  <c r="CI62" i="13"/>
  <c r="CI63" i="13"/>
  <c r="CI64" i="13"/>
  <c r="CI65" i="13"/>
  <c r="CI66" i="13"/>
  <c r="CI67" i="13"/>
  <c r="CI68" i="13"/>
  <c r="CI69" i="13"/>
  <c r="CH23" i="13"/>
  <c r="CH24" i="13"/>
  <c r="CH25" i="13"/>
  <c r="CH26" i="13"/>
  <c r="CH27" i="13"/>
  <c r="CH28" i="13"/>
  <c r="CH29" i="13"/>
  <c r="CH30" i="13"/>
  <c r="CH31" i="13"/>
  <c r="CH32" i="13"/>
  <c r="CH33" i="13"/>
  <c r="CH34" i="13"/>
  <c r="CH35" i="13"/>
  <c r="CH36" i="13"/>
  <c r="CH37" i="13"/>
  <c r="CH38" i="13"/>
  <c r="CH39" i="13"/>
  <c r="CH40" i="13"/>
  <c r="CH41" i="13"/>
  <c r="CH42" i="13"/>
  <c r="CH43" i="13"/>
  <c r="CH44" i="13"/>
  <c r="CH45" i="13"/>
  <c r="CH46" i="13"/>
  <c r="CH47" i="13"/>
  <c r="CH48" i="13"/>
  <c r="CH49" i="13"/>
  <c r="CH50" i="13"/>
  <c r="CH51" i="13"/>
  <c r="CH52" i="13"/>
  <c r="CH53" i="13"/>
  <c r="CH54" i="13"/>
  <c r="CH55" i="13"/>
  <c r="CH56" i="13"/>
  <c r="CH57" i="13"/>
  <c r="CH58" i="13"/>
  <c r="CH59" i="13"/>
  <c r="CH60" i="13"/>
  <c r="CH61" i="13"/>
  <c r="CH62" i="13"/>
  <c r="CH63" i="13"/>
  <c r="CH64" i="13"/>
  <c r="CH65" i="13"/>
  <c r="CH66" i="13"/>
  <c r="CH67" i="13"/>
  <c r="CH68" i="13"/>
  <c r="CH69" i="13"/>
  <c r="CD3" i="13"/>
  <c r="CC3" i="13"/>
  <c r="CB3" i="13"/>
  <c r="CA3" i="13"/>
  <c r="BZ3" i="13"/>
  <c r="BY3" i="13"/>
  <c r="BX3" i="13"/>
  <c r="BW3" i="13"/>
  <c r="M16" i="11"/>
  <c r="N16" i="11" s="1"/>
  <c r="M17" i="11"/>
  <c r="N17" i="11" s="1"/>
  <c r="M18" i="11"/>
  <c r="N18" i="11" s="1"/>
  <c r="M19" i="11"/>
  <c r="N19" i="11" s="1"/>
  <c r="M20" i="11"/>
  <c r="N20" i="11" s="1"/>
  <c r="M21" i="11"/>
  <c r="N21" i="11" s="1"/>
  <c r="M22" i="11"/>
  <c r="N22" i="11" s="1"/>
  <c r="M23" i="11"/>
  <c r="N23" i="11" s="1"/>
  <c r="M24" i="11"/>
  <c r="N24" i="11" s="1"/>
  <c r="M25" i="11"/>
  <c r="N25" i="11" s="1"/>
  <c r="M26" i="11"/>
  <c r="N26" i="11" s="1"/>
  <c r="M27" i="11"/>
  <c r="N27" i="11" s="1"/>
  <c r="M28" i="11"/>
  <c r="N28" i="11" s="1"/>
  <c r="M29" i="11"/>
  <c r="N29" i="11" s="1"/>
  <c r="M30" i="11"/>
  <c r="N30" i="11" s="1"/>
  <c r="M31" i="11"/>
  <c r="N31" i="11" s="1"/>
  <c r="M32" i="11"/>
  <c r="N32" i="11" s="1"/>
  <c r="M33" i="11"/>
  <c r="N33" i="11" s="1"/>
  <c r="M34" i="11"/>
  <c r="N34" i="11" s="1"/>
  <c r="M35" i="11"/>
  <c r="N35" i="11" s="1"/>
  <c r="M36" i="11"/>
  <c r="N36" i="11" s="1"/>
  <c r="M37" i="11"/>
  <c r="N37" i="11" s="1"/>
  <c r="M38" i="11"/>
  <c r="N38" i="11" s="1"/>
  <c r="M39" i="11"/>
  <c r="N39" i="11" s="1"/>
  <c r="M40" i="11"/>
  <c r="N40" i="11" s="1"/>
  <c r="M41" i="11"/>
  <c r="N41" i="11" s="1"/>
  <c r="M42" i="11"/>
  <c r="N42" i="11" s="1"/>
  <c r="M43" i="11"/>
  <c r="N43" i="11" s="1"/>
  <c r="M44" i="11"/>
  <c r="N44" i="11" s="1"/>
  <c r="M45" i="11"/>
  <c r="N45" i="11" s="1"/>
  <c r="M46" i="11"/>
  <c r="N46" i="11" s="1"/>
  <c r="M47" i="11"/>
  <c r="N47" i="11" s="1"/>
  <c r="M48" i="11"/>
  <c r="N48" i="11" s="1"/>
  <c r="M49" i="11"/>
  <c r="N49" i="11" s="1"/>
  <c r="M50" i="11"/>
  <c r="N50" i="11" s="1"/>
  <c r="M51" i="11"/>
  <c r="N51" i="11" s="1"/>
  <c r="M52" i="11"/>
  <c r="N52" i="11" s="1"/>
  <c r="M53" i="11"/>
  <c r="N53" i="11" s="1"/>
  <c r="M54" i="11"/>
  <c r="N54" i="11" s="1"/>
  <c r="M55" i="11"/>
  <c r="N55" i="11" s="1"/>
  <c r="M56" i="11"/>
  <c r="N56" i="11" s="1"/>
  <c r="M57" i="11"/>
  <c r="N57" i="11" s="1"/>
  <c r="M58" i="11"/>
  <c r="N58" i="11" s="1"/>
  <c r="M59" i="11"/>
  <c r="N59" i="11" s="1"/>
  <c r="M60" i="11"/>
  <c r="N60" i="11" s="1"/>
  <c r="M61" i="11"/>
  <c r="N61" i="11" s="1"/>
  <c r="M62" i="11"/>
  <c r="N62" i="11" s="1"/>
  <c r="M63" i="11"/>
  <c r="N63" i="11" s="1"/>
  <c r="M64" i="11"/>
  <c r="N64" i="11" s="1"/>
  <c r="M65" i="11"/>
  <c r="N65" i="11" s="1"/>
  <c r="M66" i="11"/>
  <c r="N66" i="11" s="1"/>
  <c r="M67" i="11"/>
  <c r="N67" i="11" s="1"/>
  <c r="M68" i="11"/>
  <c r="N68" i="11" s="1"/>
  <c r="M6" i="12"/>
  <c r="M7" i="12"/>
  <c r="M8" i="12"/>
  <c r="M9" i="12"/>
  <c r="M10" i="12"/>
  <c r="M11" i="12"/>
  <c r="M12" i="12"/>
  <c r="M13" i="12"/>
  <c r="M14" i="12"/>
  <c r="M15" i="12"/>
  <c r="M16" i="12"/>
  <c r="M17" i="12"/>
  <c r="M18" i="12"/>
  <c r="M19" i="12"/>
  <c r="M20" i="12"/>
  <c r="M21" i="12"/>
  <c r="M22" i="12"/>
  <c r="M23" i="12"/>
  <c r="M24" i="12"/>
  <c r="M25" i="12"/>
  <c r="M26" i="12"/>
  <c r="M27" i="12"/>
  <c r="M28" i="12"/>
  <c r="M29" i="12"/>
  <c r="M30" i="12"/>
  <c r="M31" i="12"/>
  <c r="M32" i="12"/>
  <c r="M33" i="12"/>
  <c r="M34" i="12"/>
  <c r="M35" i="12"/>
  <c r="M36" i="12"/>
  <c r="M37" i="12"/>
  <c r="M38" i="12"/>
  <c r="M39" i="12"/>
  <c r="M40" i="12"/>
  <c r="M41" i="12"/>
  <c r="M42" i="12"/>
  <c r="M43" i="12"/>
  <c r="M44" i="12"/>
  <c r="M45" i="12"/>
  <c r="M46" i="12"/>
  <c r="M47" i="12"/>
  <c r="M48" i="12"/>
  <c r="M49" i="12"/>
  <c r="M50" i="12"/>
  <c r="M51" i="12"/>
  <c r="M52" i="12"/>
  <c r="M53" i="12"/>
  <c r="M54" i="12"/>
  <c r="M55" i="12"/>
  <c r="M56" i="12"/>
  <c r="M57" i="12"/>
  <c r="M58" i="12"/>
  <c r="M59" i="12"/>
  <c r="M60" i="12"/>
  <c r="M61" i="12"/>
  <c r="M62" i="12"/>
  <c r="M63" i="12"/>
  <c r="M64" i="12"/>
  <c r="M65" i="12"/>
  <c r="M66" i="12"/>
  <c r="M67" i="12"/>
  <c r="M68" i="12"/>
  <c r="CE70" i="13"/>
  <c r="CF11" i="13"/>
  <c r="CF7" i="13"/>
  <c r="BV3" i="13"/>
  <c r="BU3" i="13"/>
  <c r="BT3" i="13"/>
  <c r="BS3" i="13"/>
  <c r="BR3" i="13"/>
  <c r="BQ3" i="13"/>
  <c r="BP3" i="13"/>
  <c r="BO3" i="13"/>
  <c r="BN3" i="13"/>
  <c r="BM3" i="13"/>
  <c r="BL3" i="13"/>
  <c r="BK3" i="13"/>
  <c r="BJ3" i="13"/>
  <c r="BI3" i="13"/>
  <c r="BH3" i="13"/>
  <c r="BG3" i="13"/>
  <c r="BF3" i="13"/>
  <c r="BE3" i="13"/>
  <c r="BD3" i="13"/>
  <c r="BC3" i="13"/>
  <c r="BB3" i="13"/>
  <c r="BA3" i="13"/>
  <c r="AZ3" i="13"/>
  <c r="AY3" i="13"/>
  <c r="AX3" i="13"/>
  <c r="AW3" i="13"/>
  <c r="AV3" i="13"/>
  <c r="AU3" i="13"/>
  <c r="AT3" i="13"/>
  <c r="AS3" i="13"/>
  <c r="AR3" i="13"/>
  <c r="AQ3" i="13"/>
  <c r="AP3" i="13"/>
  <c r="AO3" i="13"/>
  <c r="AN3" i="13"/>
  <c r="AM3" i="13"/>
  <c r="AL3" i="13"/>
  <c r="AK3" i="13"/>
  <c r="AJ3" i="13"/>
  <c r="AI3" i="13"/>
  <c r="AH3" i="13"/>
  <c r="AG3" i="13"/>
  <c r="AF3" i="13"/>
  <c r="AE3" i="13"/>
  <c r="AD3" i="13"/>
  <c r="AC3" i="13"/>
  <c r="AB3" i="13"/>
  <c r="AA3" i="13"/>
  <c r="Z3" i="13"/>
  <c r="Y3" i="13"/>
  <c r="X3" i="13"/>
  <c r="W3" i="13"/>
  <c r="V3" i="13"/>
  <c r="U3" i="13"/>
  <c r="T3" i="13"/>
  <c r="S3" i="13"/>
  <c r="R3" i="13"/>
  <c r="Q3" i="13"/>
  <c r="P3" i="13"/>
  <c r="O3" i="13"/>
  <c r="N3" i="13"/>
  <c r="M3" i="13"/>
  <c r="L3" i="13"/>
  <c r="K3" i="13"/>
  <c r="J3" i="13"/>
  <c r="I3" i="13"/>
  <c r="H3" i="13"/>
  <c r="G3" i="13"/>
  <c r="F3" i="13"/>
  <c r="E3" i="13"/>
  <c r="C3" i="13"/>
  <c r="D3" i="13"/>
  <c r="V29" i="12"/>
  <c r="V28" i="12"/>
  <c r="V27" i="12"/>
  <c r="V26" i="12"/>
  <c r="V25" i="12"/>
  <c r="V24" i="12"/>
  <c r="V23" i="12"/>
  <c r="V22" i="12"/>
  <c r="V21" i="12"/>
  <c r="V20" i="12"/>
  <c r="V19" i="12"/>
  <c r="V18" i="12"/>
  <c r="V17" i="12"/>
  <c r="V16" i="12"/>
  <c r="V15" i="12"/>
  <c r="V14" i="12"/>
  <c r="V13" i="12"/>
  <c r="V12" i="12"/>
  <c r="V11" i="12"/>
  <c r="V10" i="12"/>
  <c r="V9" i="12"/>
  <c r="V8" i="12"/>
  <c r="V7" i="12"/>
  <c r="V6" i="12"/>
  <c r="V5" i="12"/>
  <c r="K3" i="12"/>
  <c r="J3" i="12"/>
  <c r="I3" i="12"/>
  <c r="H3" i="12"/>
  <c r="G3" i="12"/>
  <c r="F3" i="12"/>
  <c r="E3" i="12"/>
  <c r="D3" i="12"/>
  <c r="C3" i="12"/>
  <c r="G3" i="11"/>
  <c r="F3" i="11"/>
  <c r="E3" i="11"/>
  <c r="D3" i="11"/>
  <c r="C3" i="11"/>
  <c r="M29" i="9"/>
  <c r="L29" i="9"/>
  <c r="K29" i="9"/>
  <c r="J29" i="9"/>
  <c r="H29" i="9"/>
  <c r="CQ12" i="13"/>
  <c r="CQ14" i="13"/>
  <c r="CQ13" i="13"/>
  <c r="CI22" i="13"/>
  <c r="CI21" i="13"/>
  <c r="CH22" i="13"/>
  <c r="CH21" i="13"/>
  <c r="CF8" i="13"/>
  <c r="CQ9" i="13"/>
  <c r="CQ10" i="13"/>
  <c r="CQ11" i="13"/>
  <c r="M37" i="9"/>
  <c r="CU11" i="13" a="1"/>
  <c r="CU11" i="13" s="1"/>
  <c r="CI9" i="13"/>
  <c r="CI10" i="13"/>
  <c r="CI13" i="13"/>
  <c r="CI12" i="13"/>
  <c r="CI15" i="13"/>
  <c r="CI14" i="13"/>
  <c r="CI18" i="13"/>
  <c r="CI19" i="13"/>
  <c r="CI16" i="13"/>
  <c r="CI17" i="13"/>
  <c r="CI11" i="13"/>
  <c r="CH15" i="13"/>
  <c r="CU25" i="13" a="1"/>
  <c r="CU25" i="13" s="1"/>
  <c r="CU66" i="13" a="1"/>
  <c r="CU66" i="13" s="1"/>
  <c r="CH12" i="13"/>
  <c r="CH11" i="13"/>
  <c r="CH10" i="13"/>
  <c r="CH14" i="13"/>
  <c r="CH17" i="13"/>
  <c r="CH16" i="13"/>
  <c r="CH18" i="13"/>
  <c r="CH13" i="13"/>
  <c r="CH19" i="13"/>
  <c r="Z12" i="51" l="1"/>
  <c r="AA12" i="51" s="1"/>
  <c r="AB12" i="51" s="1"/>
  <c r="Z12" i="43"/>
  <c r="AA12" i="43" s="1"/>
  <c r="AB12" i="43" s="1"/>
  <c r="Z11" i="43"/>
  <c r="AA11" i="43" s="1"/>
  <c r="AB11" i="43" s="1"/>
  <c r="Z13" i="51"/>
  <c r="AA13" i="51" s="1"/>
  <c r="AB13" i="51" s="1"/>
  <c r="V14" i="43"/>
  <c r="CE3" i="13"/>
  <c r="CU18" i="13" a="1"/>
  <c r="CU18" i="13" s="1"/>
  <c r="CU62" i="13" a="1"/>
  <c r="CU62" i="13" s="1"/>
  <c r="CU59" i="13" a="1"/>
  <c r="CU59" i="13" s="1"/>
  <c r="CU60" i="13" a="1"/>
  <c r="CU60" i="13" s="1"/>
  <c r="CU63" i="13" a="1"/>
  <c r="CU63" i="13" s="1"/>
  <c r="L37" i="9"/>
  <c r="CU61" i="13" a="1"/>
  <c r="CU61" i="13" s="1"/>
  <c r="CU57" i="13" a="1"/>
  <c r="CU57" i="13" s="1"/>
  <c r="M3" i="11"/>
  <c r="N3" i="11" s="1"/>
  <c r="D9" i="70" s="1"/>
  <c r="AJ20" i="43" a="1"/>
  <c r="Z7" i="50"/>
  <c r="AA7" i="50" s="1"/>
  <c r="AB7" i="50" s="1"/>
  <c r="K16" i="51"/>
  <c r="L8" i="51" s="1"/>
  <c r="D37" i="51"/>
  <c r="M3" i="12"/>
  <c r="Z13" i="50"/>
  <c r="AA13" i="50" s="1"/>
  <c r="AB13" i="50" s="1"/>
  <c r="CH6" i="13"/>
  <c r="Z6" i="43" s="1"/>
  <c r="AA6" i="43" s="1"/>
  <c r="AB6" i="43" s="1"/>
  <c r="CU48" i="13" a="1"/>
  <c r="CU48" i="13" s="1"/>
  <c r="CU54" i="13" a="1"/>
  <c r="CU54" i="13" s="1"/>
  <c r="CU58" i="13" a="1"/>
  <c r="CU58" i="13" s="1"/>
  <c r="CU24" i="13" a="1"/>
  <c r="CU24" i="13" s="1"/>
  <c r="CU17" i="13" a="1"/>
  <c r="CU17" i="13" s="1"/>
  <c r="CU10" i="13" a="1"/>
  <c r="CU10" i="13" s="1"/>
  <c r="AL20" i="51" a="1"/>
  <c r="CI7" i="13"/>
  <c r="Z7" i="51" s="1"/>
  <c r="AA7" i="51" s="1"/>
  <c r="AB7" i="51" s="1"/>
  <c r="D36" i="51"/>
  <c r="CU49" i="13" a="1"/>
  <c r="CU49" i="13" s="1"/>
  <c r="CU50" i="13" a="1"/>
  <c r="CU50" i="13" s="1"/>
  <c r="CU8" i="13" a="1"/>
  <c r="CU8" i="13" s="1"/>
  <c r="AK20" i="51" a="1"/>
  <c r="D38" i="50"/>
  <c r="D39" i="51"/>
  <c r="CU51" i="13" a="1"/>
  <c r="CU51" i="13" s="1"/>
  <c r="CU53" i="13" a="1"/>
  <c r="CU53" i="13" s="1"/>
  <c r="CU43" i="13" a="1"/>
  <c r="CU43" i="13" s="1"/>
  <c r="CU42" i="13" a="1"/>
  <c r="CU42" i="13" s="1"/>
  <c r="CU23" i="13" a="1"/>
  <c r="CU23" i="13" s="1"/>
  <c r="AJ20" i="51" a="1"/>
  <c r="CU15" i="13" a="1"/>
  <c r="CU15" i="13" s="1"/>
  <c r="AD13" i="43"/>
  <c r="AE13" i="43" s="1"/>
  <c r="AF13" i="43" s="1"/>
  <c r="CH9" i="13"/>
  <c r="CU52" i="13" a="1"/>
  <c r="CU52" i="13" s="1"/>
  <c r="CH7" i="13"/>
  <c r="Z6" i="51" s="1"/>
  <c r="AA6" i="51" s="1"/>
  <c r="AB6" i="51" s="1"/>
  <c r="CU47" i="13" a="1"/>
  <c r="CU47" i="13" s="1"/>
  <c r="CU45" i="13" a="1"/>
  <c r="CU45" i="13" s="1"/>
  <c r="CU64" i="13" a="1"/>
  <c r="CU64" i="13" s="1"/>
  <c r="CU35" i="13" a="1"/>
  <c r="CU35" i="13" s="1"/>
  <c r="CU44" i="13" a="1"/>
  <c r="CU44" i="13" s="1"/>
  <c r="CU34" i="13" a="1"/>
  <c r="CU34" i="13" s="1"/>
  <c r="CU22" i="13" a="1"/>
  <c r="CU22" i="13" s="1"/>
  <c r="CU12" i="13" a="1"/>
  <c r="CU12" i="13" s="1"/>
  <c r="AJ6" i="50" a="1"/>
  <c r="AL13" i="50" s="1"/>
  <c r="CH8" i="13"/>
  <c r="CU46" i="13" a="1"/>
  <c r="CU46" i="13" s="1"/>
  <c r="CU16" i="13" a="1"/>
  <c r="CU16" i="13" s="1"/>
  <c r="CU41" i="13" a="1"/>
  <c r="CU41" i="13" s="1"/>
  <c r="CU38" i="13" a="1"/>
  <c r="CU38" i="13" s="1"/>
  <c r="CU39" i="13" a="1"/>
  <c r="CU39" i="13" s="1"/>
  <c r="CU33" i="13" a="1"/>
  <c r="CU33" i="13" s="1"/>
  <c r="CU36" i="13" a="1"/>
  <c r="CU36" i="13" s="1"/>
  <c r="CU26" i="13" a="1"/>
  <c r="CU26" i="13" s="1"/>
  <c r="CU37" i="13" a="1"/>
  <c r="CU37" i="13" s="1"/>
  <c r="CU21" i="13" a="1"/>
  <c r="CU21" i="13" s="1"/>
  <c r="CU13" i="13" a="1"/>
  <c r="CU13" i="13" s="1"/>
  <c r="CU56" i="13" a="1"/>
  <c r="CU56" i="13" s="1"/>
  <c r="CU55" i="13" a="1"/>
  <c r="CU55" i="13" s="1"/>
  <c r="CU32" i="13" a="1"/>
  <c r="CU32" i="13" s="1"/>
  <c r="CU67" i="13" a="1"/>
  <c r="CU67" i="13" s="1"/>
  <c r="CU27" i="13" a="1"/>
  <c r="CU27" i="13" s="1"/>
  <c r="CU30" i="13" a="1"/>
  <c r="CU30" i="13" s="1"/>
  <c r="CU28" i="13" a="1"/>
  <c r="CU28" i="13" s="1"/>
  <c r="CU31" i="13" a="1"/>
  <c r="CU31" i="13" s="1"/>
  <c r="CU29" i="13" a="1"/>
  <c r="CU29" i="13" s="1"/>
  <c r="CU20" i="13" a="1"/>
  <c r="CU20" i="13" s="1"/>
  <c r="CU40" i="13" a="1"/>
  <c r="CU40" i="13" s="1"/>
  <c r="CU65" i="13" a="1"/>
  <c r="CU65" i="13" s="1"/>
  <c r="CU68" i="13" a="1"/>
  <c r="CU68" i="13" s="1"/>
  <c r="CU69" i="13" a="1"/>
  <c r="CU69" i="13" s="1"/>
  <c r="CU19" i="13" a="1"/>
  <c r="CU19" i="13" s="1"/>
  <c r="CU6" i="13" a="1"/>
  <c r="CU6" i="13" s="1"/>
  <c r="Z7" i="43"/>
  <c r="AA7" i="43" s="1"/>
  <c r="AB7" i="43" s="1"/>
  <c r="Z9" i="43"/>
  <c r="AA9" i="43" s="1"/>
  <c r="AB9" i="43" s="1"/>
  <c r="CF9" i="13"/>
  <c r="Z13" i="43"/>
  <c r="AA13" i="43" s="1"/>
  <c r="AB13" i="43" s="1"/>
  <c r="Z12" i="50"/>
  <c r="AA12" i="50" s="1"/>
  <c r="AB12" i="50" s="1"/>
  <c r="AJ20" i="43"/>
  <c r="AL20" i="51"/>
  <c r="AK20" i="51"/>
  <c r="AJ20" i="51"/>
  <c r="Z14" i="50"/>
  <c r="D36" i="43"/>
  <c r="AK10" i="50"/>
  <c r="CF6" i="13"/>
  <c r="V9" i="43"/>
  <c r="D38" i="43"/>
  <c r="Z11" i="50"/>
  <c r="AA11" i="50" s="1"/>
  <c r="AB11" i="50" s="1"/>
  <c r="D16" i="43"/>
  <c r="E13" i="43" s="1"/>
  <c r="AA14" i="51"/>
  <c r="AB14" i="51" s="1"/>
  <c r="Z11" i="51"/>
  <c r="AA11" i="51" s="1"/>
  <c r="AB11" i="51" s="1"/>
  <c r="D38" i="51"/>
  <c r="AJ6" i="51" a="1"/>
  <c r="D16" i="51"/>
  <c r="AK15" i="50"/>
  <c r="AK20" i="43" a="1"/>
  <c r="AK20" i="43" s="1"/>
  <c r="AL20" i="43" a="1"/>
  <c r="AL20" i="43" s="1"/>
  <c r="Z9" i="50"/>
  <c r="AA9" i="50" s="1"/>
  <c r="AB9" i="50" s="1"/>
  <c r="V9" i="50"/>
  <c r="D39" i="50"/>
  <c r="AJ6" i="43" a="1"/>
  <c r="D39" i="43"/>
  <c r="K16" i="43"/>
  <c r="K37" i="9"/>
  <c r="CQ8" i="13" s="1"/>
  <c r="Z15" i="50" s="1"/>
  <c r="AA15" i="50" s="1"/>
  <c r="AB15" i="50" s="1"/>
  <c r="CU7" i="13" a="1"/>
  <c r="CU7" i="13" s="1"/>
  <c r="CU9" i="13" a="1"/>
  <c r="CU9" i="13" s="1"/>
  <c r="CU14" i="13" a="1"/>
  <c r="CU14" i="13" s="1"/>
  <c r="D37" i="43"/>
  <c r="D16" i="50"/>
  <c r="D37" i="50"/>
  <c r="AK20" i="50" a="1"/>
  <c r="AK20" i="50" s="1"/>
  <c r="K16" i="50"/>
  <c r="AJ20" i="50" a="1"/>
  <c r="AJ20" i="50" s="1"/>
  <c r="AL20" i="50" a="1"/>
  <c r="AL20" i="50" s="1"/>
  <c r="L9" i="51"/>
  <c r="CQ7" i="13"/>
  <c r="Z15" i="51" s="1"/>
  <c r="AA15" i="51" s="1"/>
  <c r="AB15" i="51" s="1"/>
  <c r="D36" i="50"/>
  <c r="Z10" i="50" l="1"/>
  <c r="AA10" i="50" s="1"/>
  <c r="AB10" i="50" s="1"/>
  <c r="D40" i="51"/>
  <c r="L15" i="51"/>
  <c r="L6" i="51"/>
  <c r="AK9" i="50"/>
  <c r="AJ8" i="50"/>
  <c r="AJ9" i="50"/>
  <c r="AL14" i="50"/>
  <c r="AL15" i="50"/>
  <c r="AK13" i="50"/>
  <c r="AJ15" i="50"/>
  <c r="AJ11" i="50"/>
  <c r="AL11" i="50"/>
  <c r="AL6" i="50"/>
  <c r="AK6" i="50"/>
  <c r="AL12" i="50"/>
  <c r="AK12" i="50"/>
  <c r="AJ6" i="50"/>
  <c r="AJ10" i="50"/>
  <c r="AL9" i="50"/>
  <c r="AJ14" i="50"/>
  <c r="AL10" i="50"/>
  <c r="AL7" i="50"/>
  <c r="Z10" i="51"/>
  <c r="AA10" i="51" s="1"/>
  <c r="AB10" i="51" s="1"/>
  <c r="L7" i="51"/>
  <c r="L14" i="51"/>
  <c r="L13" i="51"/>
  <c r="L10" i="51"/>
  <c r="L12" i="51"/>
  <c r="L11" i="51"/>
  <c r="N20" i="51"/>
  <c r="Z8" i="51"/>
  <c r="AA8" i="51" s="1"/>
  <c r="AB8" i="51" s="1"/>
  <c r="Z8" i="43"/>
  <c r="AA8" i="43" s="1"/>
  <c r="AB8" i="43" s="1"/>
  <c r="Z10" i="43"/>
  <c r="AA10" i="43" s="1"/>
  <c r="AB10" i="43" s="1"/>
  <c r="AL8" i="50"/>
  <c r="AJ12" i="50"/>
  <c r="AJ7" i="50"/>
  <c r="AK8" i="50"/>
  <c r="AK11" i="50"/>
  <c r="AK14" i="50"/>
  <c r="AJ13" i="50"/>
  <c r="AK7" i="50"/>
  <c r="Z6" i="50"/>
  <c r="E11" i="43"/>
  <c r="E6" i="43"/>
  <c r="E8" i="43"/>
  <c r="E15" i="43"/>
  <c r="E14" i="43"/>
  <c r="E7" i="43"/>
  <c r="E12" i="43"/>
  <c r="E10" i="43"/>
  <c r="AD13" i="50"/>
  <c r="AE13" i="50" s="1"/>
  <c r="AF13" i="50" s="1"/>
  <c r="AA14" i="50"/>
  <c r="AB14" i="50" s="1"/>
  <c r="D35" i="43"/>
  <c r="H19" i="43" s="1"/>
  <c r="E9" i="43"/>
  <c r="AL9" i="51"/>
  <c r="AL15" i="51"/>
  <c r="AJ10" i="51"/>
  <c r="AK10" i="51"/>
  <c r="AK12" i="51"/>
  <c r="AL11" i="51"/>
  <c r="AL6" i="51"/>
  <c r="AJ13" i="51"/>
  <c r="AL12" i="51"/>
  <c r="AJ9" i="51"/>
  <c r="AK11" i="51"/>
  <c r="AL7" i="51"/>
  <c r="AL10" i="51"/>
  <c r="AJ7" i="51"/>
  <c r="AK13" i="51"/>
  <c r="AJ12" i="51"/>
  <c r="AJ15" i="51"/>
  <c r="AK15" i="51"/>
  <c r="AJ14" i="51"/>
  <c r="AK8" i="51"/>
  <c r="AJ6" i="51"/>
  <c r="AK7" i="51"/>
  <c r="AL13" i="51"/>
  <c r="AJ8" i="51"/>
  <c r="AK6" i="51"/>
  <c r="AK9" i="51"/>
  <c r="AJ11" i="51"/>
  <c r="AK14" i="51"/>
  <c r="AL14" i="51"/>
  <c r="AL8" i="51"/>
  <c r="CQ6" i="13"/>
  <c r="Z15" i="43" s="1"/>
  <c r="AA15" i="43" s="1"/>
  <c r="AB15" i="43" s="1"/>
  <c r="L11" i="50"/>
  <c r="N20" i="50"/>
  <c r="L10" i="50"/>
  <c r="L14" i="50"/>
  <c r="L6" i="50"/>
  <c r="L9" i="50"/>
  <c r="L13" i="50"/>
  <c r="L15" i="50"/>
  <c r="L8" i="50"/>
  <c r="L7" i="50"/>
  <c r="L12" i="50"/>
  <c r="AL13" i="43"/>
  <c r="AL6" i="43"/>
  <c r="AK9" i="43"/>
  <c r="AJ13" i="43"/>
  <c r="AJ12" i="43"/>
  <c r="AK12" i="43"/>
  <c r="AK14" i="43"/>
  <c r="AJ6" i="43"/>
  <c r="AK13" i="43"/>
  <c r="AJ11" i="43"/>
  <c r="AJ10" i="43"/>
  <c r="AK6" i="43"/>
  <c r="AL12" i="43"/>
  <c r="AJ9" i="43"/>
  <c r="AJ15" i="43"/>
  <c r="AL7" i="43"/>
  <c r="AL9" i="43"/>
  <c r="AJ7" i="43"/>
  <c r="AJ8" i="43"/>
  <c r="AJ14" i="43"/>
  <c r="AL14" i="43"/>
  <c r="AL11" i="43"/>
  <c r="AK7" i="43"/>
  <c r="AK10" i="43"/>
  <c r="AK8" i="43"/>
  <c r="AL8" i="43"/>
  <c r="AK15" i="43"/>
  <c r="AK11" i="43"/>
  <c r="AL15" i="43"/>
  <c r="AL10" i="43"/>
  <c r="D40" i="50"/>
  <c r="L9" i="43"/>
  <c r="L7" i="43"/>
  <c r="L8" i="43"/>
  <c r="L13" i="43"/>
  <c r="N20" i="43"/>
  <c r="L14" i="43"/>
  <c r="L10" i="43"/>
  <c r="L6" i="43"/>
  <c r="L15" i="43"/>
  <c r="L11" i="43"/>
  <c r="L12" i="43"/>
  <c r="D35" i="50"/>
  <c r="N19" i="50" s="1"/>
  <c r="E12" i="50"/>
  <c r="E10" i="50"/>
  <c r="E15" i="50"/>
  <c r="E13" i="50"/>
  <c r="E9" i="50"/>
  <c r="E7" i="50"/>
  <c r="E14" i="50"/>
  <c r="E11" i="50"/>
  <c r="E6" i="50"/>
  <c r="E8" i="50"/>
  <c r="E8" i="51"/>
  <c r="E9" i="51"/>
  <c r="D35" i="51"/>
  <c r="E7" i="51"/>
  <c r="E13" i="51"/>
  <c r="E11" i="51"/>
  <c r="E15" i="51"/>
  <c r="E14" i="51"/>
  <c r="E6" i="51"/>
  <c r="E12" i="51"/>
  <c r="E10" i="51"/>
  <c r="D40" i="43"/>
  <c r="AL16" i="50" l="1"/>
  <c r="AJ16" i="50"/>
  <c r="AJ17" i="50" s="1" a="1"/>
  <c r="H20" i="43"/>
  <c r="AK16" i="50"/>
  <c r="N19" i="43"/>
  <c r="AA6" i="50"/>
  <c r="AB6" i="50" s="1"/>
  <c r="Z8" i="50"/>
  <c r="AA8" i="50" s="1"/>
  <c r="AB8" i="50" s="1"/>
  <c r="H19" i="50"/>
  <c r="AK16" i="51"/>
  <c r="AJ16" i="43"/>
  <c r="AJ21" i="50" a="1"/>
  <c r="AL16" i="51"/>
  <c r="H20" i="50"/>
  <c r="AK16" i="43"/>
  <c r="AJ16" i="51"/>
  <c r="AL16" i="43"/>
  <c r="N19" i="51"/>
  <c r="H20" i="51"/>
  <c r="H19" i="51"/>
  <c r="AJ21" i="43" l="1" a="1"/>
  <c r="AJ17" i="43" a="1"/>
  <c r="AJ17" i="51" a="1"/>
  <c r="AJ21" i="51" a="1"/>
  <c r="AL17" i="50"/>
  <c r="AK17" i="50"/>
  <c r="AJ17" i="50"/>
  <c r="AK21" i="50"/>
  <c r="AK22" i="50" s="1"/>
  <c r="AJ21" i="50"/>
  <c r="AJ22" i="50" s="1"/>
  <c r="AL21" i="50"/>
  <c r="AL22" i="50" s="1"/>
  <c r="AL18" i="50" l="1"/>
  <c r="AJ21" i="51"/>
  <c r="AJ22" i="51" s="1"/>
  <c r="AL21" i="51"/>
  <c r="AL22" i="51" s="1"/>
  <c r="AK21" i="51"/>
  <c r="AK22" i="51" s="1"/>
  <c r="AK17" i="51"/>
  <c r="AL17" i="51"/>
  <c r="AJ17" i="51"/>
  <c r="AK17" i="43"/>
  <c r="AL17" i="43"/>
  <c r="AJ17" i="43"/>
  <c r="AK21" i="43"/>
  <c r="AK22" i="43" s="1"/>
  <c r="AJ21" i="43"/>
  <c r="AJ22" i="43" s="1"/>
  <c r="AL21" i="43"/>
  <c r="AL22" i="43" s="1"/>
  <c r="AJ18" i="50"/>
  <c r="AK18" i="50"/>
  <c r="AK18" i="43" l="1"/>
  <c r="AJ18" i="51"/>
  <c r="AL18" i="51"/>
  <c r="AK18" i="51"/>
  <c r="AJ18" i="43"/>
  <c r="AL18" i="43"/>
  <c r="F22" i="70" l="1"/>
  <c r="F46" i="70"/>
  <c r="AA64" i="70"/>
  <c r="M70" i="70"/>
  <c r="AB68" i="70"/>
  <c r="Y23" i="70"/>
  <c r="E27" i="70"/>
  <c r="M32" i="70"/>
  <c r="AA70" i="70"/>
  <c r="AI53" i="70"/>
  <c r="AF27" i="70"/>
  <c r="AI13" i="70"/>
  <c r="X28" i="70"/>
  <c r="E23" i="70"/>
  <c r="S32" i="70"/>
  <c r="AE74" i="70"/>
  <c r="AK49" i="70"/>
  <c r="R63" i="70"/>
  <c r="AD62" i="70"/>
  <c r="Z63" i="70"/>
  <c r="Z54" i="70"/>
  <c r="W42" i="70"/>
  <c r="Q24" i="70"/>
  <c r="W55" i="70"/>
  <c r="AI63" i="70"/>
  <c r="AE57" i="70"/>
  <c r="AB25" i="70"/>
  <c r="S40" i="70"/>
  <c r="AK41" i="70"/>
  <c r="E38" i="70"/>
  <c r="AH52" i="70"/>
  <c r="AI32" i="70"/>
  <c r="AE35" i="70"/>
  <c r="F28" i="70"/>
  <c r="U59" i="70"/>
  <c r="M22" i="70"/>
  <c r="F35" i="70"/>
  <c r="M44" i="70"/>
  <c r="D19" i="70"/>
  <c r="AB72" i="70"/>
  <c r="AJ19" i="70"/>
  <c r="F75" i="70"/>
  <c r="T58" i="70"/>
  <c r="AA65" i="70"/>
  <c r="D71" i="70"/>
  <c r="X50" i="70"/>
  <c r="AB33" i="70"/>
  <c r="S49" i="70"/>
  <c r="AA49" i="70"/>
  <c r="AF43" i="70"/>
  <c r="E46" i="70"/>
  <c r="W27" i="70"/>
  <c r="AH17" i="70"/>
  <c r="AJ35" i="70"/>
  <c r="AB24" i="70"/>
  <c r="AG41" i="70"/>
  <c r="AB17" i="70"/>
  <c r="S47" i="70"/>
  <c r="G33" i="70"/>
  <c r="AK24" i="70"/>
  <c r="S26" i="70"/>
  <c r="M27" i="70"/>
  <c r="AK73" i="70"/>
  <c r="AE63" i="70"/>
  <c r="D35" i="70"/>
  <c r="AK51" i="70"/>
  <c r="AA30" i="70"/>
  <c r="M61" i="70"/>
  <c r="AD75" i="70"/>
  <c r="R66" i="70"/>
  <c r="F48" i="70"/>
  <c r="AE58" i="70"/>
  <c r="U18" i="70"/>
  <c r="E37" i="70"/>
  <c r="AE19" i="70"/>
  <c r="AH23" i="70"/>
  <c r="AF60" i="70"/>
  <c r="G62" i="70"/>
  <c r="W56" i="70"/>
  <c r="D53" i="70"/>
  <c r="E24" i="43"/>
  <c r="Q74" i="70"/>
  <c r="R7" i="51"/>
  <c r="S42" i="70"/>
  <c r="AG16" i="70"/>
  <c r="AD61" i="70"/>
  <c r="AI44" i="70"/>
  <c r="Q35" i="70"/>
  <c r="Q71" i="70"/>
  <c r="W36" i="70"/>
  <c r="AI17" i="70"/>
  <c r="X57" i="70"/>
  <c r="E25" i="51"/>
  <c r="AH39" i="70"/>
  <c r="AA37" i="70"/>
  <c r="Q73" i="70"/>
  <c r="D48" i="70"/>
  <c r="D31" i="70"/>
  <c r="X72" i="70"/>
  <c r="W44" i="70"/>
  <c r="G67" i="70"/>
  <c r="AB59" i="70"/>
  <c r="AG42" i="70"/>
  <c r="AI65" i="70"/>
  <c r="S25" i="70"/>
  <c r="AH57" i="70"/>
  <c r="C3" i="43"/>
  <c r="AJ44" i="70"/>
  <c r="Y26" i="70"/>
  <c r="C40" i="70"/>
  <c r="Z41" i="70"/>
  <c r="AE70" i="70"/>
  <c r="AD15" i="70"/>
  <c r="V59" i="70"/>
  <c r="Q30" i="70"/>
  <c r="AD41" i="70"/>
  <c r="M31" i="70"/>
  <c r="G53" i="70"/>
  <c r="W18" i="70"/>
  <c r="Q48" i="70"/>
  <c r="Y18" i="70"/>
  <c r="C31" i="70"/>
  <c r="Y61" i="70"/>
  <c r="AF20" i="70"/>
  <c r="AA58" i="70"/>
  <c r="X61" i="70"/>
  <c r="F56" i="70"/>
  <c r="AD51" i="70"/>
  <c r="AD60" i="70"/>
  <c r="E47" i="70"/>
  <c r="G38" i="70"/>
  <c r="U39" i="70"/>
  <c r="M59" i="70"/>
  <c r="AD52" i="70"/>
  <c r="AH76" i="70"/>
  <c r="AH42" i="70"/>
  <c r="C41" i="70"/>
  <c r="T21" i="70"/>
  <c r="S18" i="70"/>
  <c r="C70" i="70"/>
  <c r="Y60" i="70"/>
  <c r="V44" i="70"/>
  <c r="AF26" i="70"/>
  <c r="V34" i="70"/>
  <c r="Z74" i="70"/>
  <c r="F66" i="70"/>
  <c r="U41" i="70"/>
  <c r="AI52" i="70"/>
  <c r="T32" i="70"/>
  <c r="Y30" i="70"/>
  <c r="AH63" i="70"/>
  <c r="AB63" i="70"/>
  <c r="C18" i="70"/>
  <c r="X69" i="70"/>
  <c r="AE39" i="70"/>
  <c r="C3" i="50"/>
  <c r="U29" i="70"/>
  <c r="Q56" i="70"/>
  <c r="S48" i="70"/>
  <c r="F37" i="70"/>
  <c r="AJ24" i="70"/>
  <c r="AJ76" i="70"/>
  <c r="T39" i="70"/>
  <c r="AH41" i="70"/>
  <c r="Q19" i="70"/>
  <c r="AB42" i="70"/>
  <c r="X53" i="70"/>
  <c r="AG56" i="70"/>
  <c r="Q59" i="70"/>
  <c r="S13" i="70"/>
  <c r="G20" i="70"/>
  <c r="AG73" i="70"/>
  <c r="U52" i="70"/>
  <c r="AB26" i="70"/>
  <c r="S15" i="70"/>
  <c r="AA52" i="70"/>
  <c r="D39" i="70"/>
  <c r="AA55" i="70"/>
  <c r="E74" i="70"/>
  <c r="AE52" i="70"/>
  <c r="AI48" i="70"/>
  <c r="Q14" i="70"/>
  <c r="W72" i="70"/>
  <c r="V51" i="70"/>
  <c r="D59" i="70"/>
  <c r="AG34" i="70"/>
  <c r="AG32" i="70"/>
  <c r="G47" i="70"/>
  <c r="AG20" i="70"/>
  <c r="AB39" i="70"/>
  <c r="E29" i="70"/>
  <c r="AE73" i="70"/>
  <c r="AD45" i="70"/>
  <c r="AK75" i="70"/>
  <c r="F45" i="70"/>
  <c r="M72" i="70"/>
  <c r="S55" i="70"/>
  <c r="R76" i="70"/>
  <c r="AA27" i="70"/>
  <c r="AE31" i="70"/>
  <c r="F27" i="70"/>
  <c r="X43" i="70"/>
  <c r="AB46" i="70"/>
  <c r="Y40" i="70"/>
  <c r="AH47" i="70"/>
  <c r="D42" i="70"/>
  <c r="T49" i="70"/>
  <c r="V58" i="70"/>
  <c r="X22" i="70"/>
  <c r="W22" i="70"/>
  <c r="D75" i="70"/>
  <c r="AJ56" i="70"/>
  <c r="R22" i="70"/>
  <c r="M25" i="70"/>
  <c r="C69" i="70"/>
  <c r="R73" i="70"/>
  <c r="Z65" i="70"/>
  <c r="AH69" i="70"/>
  <c r="Z18" i="70"/>
  <c r="AB49" i="70"/>
  <c r="AI68" i="70"/>
  <c r="F23" i="70"/>
  <c r="AG43" i="70"/>
  <c r="AE32" i="70"/>
  <c r="T42" i="70"/>
  <c r="Y32" i="70"/>
  <c r="AD37" i="70"/>
  <c r="S52" i="70"/>
  <c r="M34" i="70"/>
  <c r="F29" i="70"/>
  <c r="Z17" i="70"/>
  <c r="AK61" i="70"/>
  <c r="AB53" i="70"/>
  <c r="AJ57" i="70"/>
  <c r="E25" i="43"/>
  <c r="AD8" i="43"/>
  <c r="S53" i="70"/>
  <c r="D24" i="70"/>
  <c r="W43" i="70"/>
  <c r="X62" i="70"/>
  <c r="S24" i="70"/>
  <c r="AB55" i="70"/>
  <c r="U49" i="70"/>
  <c r="E65" i="70"/>
  <c r="Y57" i="70"/>
  <c r="AJ46" i="70"/>
  <c r="M23" i="70"/>
  <c r="Y22" i="70"/>
  <c r="AD49" i="70"/>
  <c r="AB19" i="70"/>
  <c r="X45" i="70"/>
  <c r="Z68" i="70"/>
  <c r="E20" i="70"/>
  <c r="M50" i="70"/>
  <c r="Q75" i="70"/>
  <c r="V57" i="70"/>
  <c r="AI75" i="70"/>
  <c r="V25" i="70"/>
  <c r="E18" i="70"/>
  <c r="AF73" i="70"/>
  <c r="D45" i="70"/>
  <c r="AG60" i="70"/>
  <c r="E40" i="70"/>
  <c r="AG67" i="70"/>
  <c r="U69" i="70"/>
  <c r="X71" i="70"/>
  <c r="AA75" i="70"/>
  <c r="W38" i="70"/>
  <c r="AK68" i="70"/>
  <c r="Z61" i="70"/>
  <c r="AI57" i="70"/>
  <c r="Y71" i="70"/>
  <c r="W68" i="70"/>
  <c r="D64" i="70"/>
  <c r="AH53" i="70"/>
  <c r="R21" i="70"/>
  <c r="AK57" i="70"/>
  <c r="W57" i="70"/>
  <c r="R72" i="70"/>
  <c r="AK16" i="70"/>
  <c r="U22" i="70"/>
  <c r="G21" i="70"/>
  <c r="F58" i="70"/>
  <c r="E49" i="70"/>
  <c r="U57" i="70"/>
  <c r="AA63" i="70"/>
  <c r="U51" i="70"/>
  <c r="AJ41" i="70"/>
  <c r="Z45" i="70"/>
  <c r="AD63" i="70"/>
  <c r="Q58" i="70"/>
  <c r="AJ74" i="70"/>
  <c r="X73" i="70"/>
  <c r="Q32" i="70"/>
  <c r="X39" i="70"/>
  <c r="X64" i="70"/>
  <c r="S45" i="70"/>
  <c r="Q16" i="70"/>
  <c r="AJ70" i="70"/>
  <c r="AB65" i="70"/>
  <c r="E27" i="50"/>
  <c r="Q37" i="70"/>
  <c r="AA73" i="70"/>
  <c r="D47" i="70"/>
  <c r="AG26" i="70"/>
  <c r="AK72" i="70"/>
  <c r="Y59" i="70"/>
  <c r="S62" i="70"/>
  <c r="C50" i="70"/>
  <c r="AG65" i="70"/>
  <c r="AA33" i="70"/>
  <c r="AK37" i="70"/>
  <c r="AJ36" i="70"/>
  <c r="C54" i="70"/>
  <c r="X19" i="70"/>
  <c r="Z27" i="70"/>
  <c r="F69" i="70"/>
  <c r="T17" i="70"/>
  <c r="E19" i="70"/>
  <c r="C33" i="70"/>
  <c r="Q70" i="70"/>
  <c r="U20" i="70"/>
  <c r="F49" i="70"/>
  <c r="AH54" i="70"/>
  <c r="AI47" i="70"/>
  <c r="C44" i="70"/>
  <c r="AG61" i="70"/>
  <c r="AK39" i="70"/>
  <c r="AE16" i="70"/>
  <c r="U38" i="70"/>
  <c r="R30" i="70"/>
  <c r="AA21" i="70"/>
  <c r="E43" i="70"/>
  <c r="AF42" i="70"/>
  <c r="AF69" i="70"/>
  <c r="M74" i="70"/>
  <c r="E30" i="70"/>
  <c r="G69" i="70"/>
  <c r="Q45" i="70"/>
  <c r="AD46" i="70"/>
  <c r="AH22" i="70"/>
  <c r="Y31" i="70"/>
  <c r="G63" i="70"/>
  <c r="AH36" i="70"/>
  <c r="AB69" i="70"/>
  <c r="F72" i="70"/>
  <c r="Q31" i="70"/>
  <c r="C3" i="51"/>
  <c r="AG27" i="70"/>
  <c r="AB38" i="70"/>
  <c r="W19" i="70"/>
  <c r="U75" i="70"/>
  <c r="D60" i="70"/>
  <c r="Y76" i="70"/>
  <c r="U15" i="70"/>
  <c r="X33" i="70"/>
  <c r="AG29" i="70"/>
  <c r="AJ58" i="70"/>
  <c r="T65" i="70"/>
  <c r="Z38" i="70"/>
  <c r="Q23" i="70"/>
  <c r="S14" i="70"/>
  <c r="AK29" i="70"/>
  <c r="V76" i="70"/>
  <c r="D67" i="70"/>
  <c r="E52" i="70"/>
  <c r="V21" i="70"/>
  <c r="G31" i="70"/>
  <c r="Q25" i="70"/>
  <c r="C28" i="70"/>
  <c r="AJ32" i="70"/>
  <c r="AG44" i="70"/>
  <c r="G23" i="70"/>
  <c r="AD9" i="50"/>
  <c r="S36" i="70"/>
  <c r="G50" i="70"/>
  <c r="W51" i="70"/>
  <c r="Z75" i="70"/>
  <c r="AF67" i="70"/>
  <c r="E17" i="70"/>
  <c r="Z64" i="70"/>
  <c r="AJ60" i="70"/>
  <c r="AI30" i="70"/>
  <c r="Y56" i="70"/>
  <c r="AG24" i="70"/>
  <c r="AH71" i="70"/>
  <c r="D29" i="70"/>
  <c r="F60" i="70"/>
  <c r="V13" i="70"/>
  <c r="AG71" i="70"/>
  <c r="Z46" i="70"/>
  <c r="AF28" i="70"/>
  <c r="Z67" i="70"/>
  <c r="T16" i="70"/>
  <c r="M28" i="70"/>
  <c r="Q7" i="51"/>
  <c r="U27" i="70"/>
  <c r="T60" i="70"/>
  <c r="T74" i="70"/>
  <c r="AE15" i="70"/>
  <c r="AB30" i="70"/>
  <c r="AE76" i="70"/>
  <c r="AK71" i="70"/>
  <c r="F24" i="70"/>
  <c r="AH19" i="70"/>
  <c r="M67" i="70"/>
  <c r="W54" i="70"/>
  <c r="V73" i="70"/>
  <c r="Q76" i="70"/>
  <c r="AK52" i="70"/>
  <c r="AG13" i="70"/>
  <c r="R51" i="70"/>
  <c r="D57" i="70"/>
  <c r="V67" i="70"/>
  <c r="E61" i="70"/>
  <c r="AE14" i="70"/>
  <c r="D33" i="70"/>
  <c r="Q43" i="70"/>
  <c r="Y28" i="70"/>
  <c r="W20" i="70"/>
  <c r="M41" i="70"/>
  <c r="V18" i="70"/>
  <c r="AB58" i="70"/>
  <c r="Q6" i="51"/>
  <c r="AG50" i="70"/>
  <c r="AH29" i="70"/>
  <c r="Z52" i="70"/>
  <c r="AE71" i="70"/>
  <c r="X18" i="70"/>
  <c r="AH68" i="70"/>
  <c r="T36" i="70"/>
  <c r="Y72" i="70"/>
  <c r="C46" i="70"/>
  <c r="G61" i="70"/>
  <c r="AA54" i="70"/>
  <c r="X20" i="70"/>
  <c r="AF35" i="70"/>
  <c r="M51" i="70"/>
  <c r="AH67" i="70"/>
  <c r="AD8" i="50"/>
  <c r="F30" i="70"/>
  <c r="AB31" i="70"/>
  <c r="AA29" i="70"/>
  <c r="R50" i="70"/>
  <c r="AA42" i="70"/>
  <c r="AJ29" i="70"/>
  <c r="AI72" i="70"/>
  <c r="X63" i="70"/>
  <c r="G34" i="70"/>
  <c r="Y66" i="70"/>
  <c r="G60" i="70"/>
  <c r="S44" i="70"/>
  <c r="AF59" i="70"/>
  <c r="Z25" i="70"/>
  <c r="C59" i="70"/>
  <c r="T12" i="50"/>
  <c r="S60" i="70"/>
  <c r="Z51" i="70"/>
  <c r="X76" i="70"/>
  <c r="R41" i="70"/>
  <c r="D38" i="70"/>
  <c r="C22" i="70"/>
  <c r="R42" i="70"/>
  <c r="F67" i="70"/>
  <c r="AD24" i="70"/>
  <c r="AF53" i="70"/>
  <c r="AH40" i="70"/>
  <c r="T35" i="70"/>
  <c r="S13" i="43"/>
  <c r="C19" i="70"/>
  <c r="Y17" i="70"/>
  <c r="S37" i="70"/>
  <c r="AI56" i="70"/>
  <c r="F41" i="70"/>
  <c r="S35" i="70"/>
  <c r="AI36" i="70"/>
  <c r="V23" i="70"/>
  <c r="C71" i="70"/>
  <c r="AD50" i="70"/>
  <c r="U28" i="70"/>
  <c r="G26" i="70"/>
  <c r="D40" i="70"/>
  <c r="AA38" i="70"/>
  <c r="Z49" i="70"/>
  <c r="G18" i="70"/>
  <c r="AE21" i="70"/>
  <c r="U43" i="70"/>
  <c r="F32" i="70"/>
  <c r="V43" i="70"/>
  <c r="W61" i="70"/>
  <c r="Z70" i="70"/>
  <c r="AD39" i="70"/>
  <c r="G24" i="70"/>
  <c r="V38" i="70"/>
  <c r="AJ48" i="70"/>
  <c r="AI42" i="70"/>
  <c r="Z24" i="70"/>
  <c r="Z19" i="70"/>
  <c r="AD42" i="70"/>
  <c r="AJ21" i="70"/>
  <c r="AG59" i="70"/>
  <c r="V62" i="70"/>
  <c r="AD31" i="70"/>
  <c r="AE66" i="70"/>
  <c r="AA31" i="70"/>
  <c r="C45" i="70"/>
  <c r="AD72" i="70"/>
  <c r="S31" i="70"/>
  <c r="AA18" i="70"/>
  <c r="S38" i="70"/>
  <c r="AF58" i="70"/>
  <c r="AI50" i="70"/>
  <c r="U33" i="70"/>
  <c r="X47" i="70"/>
  <c r="T27" i="70"/>
  <c r="V46" i="70"/>
  <c r="S46" i="70"/>
  <c r="R28" i="70"/>
  <c r="Y70" i="70"/>
  <c r="G49" i="70"/>
  <c r="T33" i="70"/>
  <c r="AD54" i="70"/>
  <c r="V55" i="70"/>
  <c r="Z56" i="70"/>
  <c r="C37" i="70"/>
  <c r="D43" i="70"/>
  <c r="T62" i="70"/>
  <c r="W30" i="70"/>
  <c r="R39" i="70"/>
  <c r="D72" i="70"/>
  <c r="AF41" i="70"/>
  <c r="Q6" i="43"/>
  <c r="X31" i="70"/>
  <c r="AK55" i="70"/>
  <c r="AI55" i="70"/>
  <c r="M39" i="70"/>
  <c r="T73" i="70"/>
  <c r="E67" i="70"/>
  <c r="R25" i="70"/>
  <c r="C43" i="70"/>
  <c r="AK64" i="70"/>
  <c r="D44" i="70"/>
  <c r="E72" i="70"/>
  <c r="Y49" i="70"/>
  <c r="U62" i="70"/>
  <c r="AI26" i="70"/>
  <c r="Q47" i="70"/>
  <c r="V17" i="70"/>
  <c r="AI54" i="70"/>
  <c r="Z53" i="70"/>
  <c r="AF31" i="70"/>
  <c r="AE23" i="70"/>
  <c r="AK59" i="70"/>
  <c r="AH75" i="70"/>
  <c r="T71" i="70"/>
  <c r="D27" i="70"/>
  <c r="G19" i="70"/>
  <c r="F74" i="70"/>
  <c r="F63" i="70"/>
  <c r="Q29" i="70"/>
  <c r="AK26" i="70"/>
  <c r="E51" i="70"/>
  <c r="Q50" i="70"/>
  <c r="Z43" i="70"/>
  <c r="AD34" i="70"/>
  <c r="AJ59" i="70"/>
  <c r="T14" i="70"/>
  <c r="X17" i="70"/>
  <c r="AA47" i="70"/>
  <c r="AD6" i="50"/>
  <c r="Z55" i="70"/>
  <c r="D58" i="70"/>
  <c r="AH24" i="70"/>
  <c r="X75" i="70"/>
  <c r="U64" i="70"/>
  <c r="X66" i="70"/>
  <c r="M43" i="70"/>
  <c r="U66" i="70"/>
  <c r="G32" i="70"/>
  <c r="AG52" i="70"/>
  <c r="Q13" i="70"/>
  <c r="AI14" i="70"/>
  <c r="AA41" i="70"/>
  <c r="S16" i="70"/>
  <c r="G51" i="70"/>
  <c r="AG33" i="70"/>
  <c r="AK66" i="70"/>
  <c r="AF34" i="70"/>
  <c r="AF15" i="70"/>
  <c r="AD27" i="70"/>
  <c r="V54" i="70"/>
  <c r="AD53" i="70"/>
  <c r="AH60" i="70"/>
  <c r="AF71" i="70"/>
  <c r="D56" i="70"/>
  <c r="AH58" i="70"/>
  <c r="AD12" i="51"/>
  <c r="G52" i="70"/>
  <c r="AJ28" i="70"/>
  <c r="R37" i="70"/>
  <c r="T56" i="70"/>
  <c r="Q21" i="70"/>
  <c r="AJ22" i="70"/>
  <c r="U58" i="70"/>
  <c r="Y75" i="70"/>
  <c r="AE30" i="70"/>
  <c r="AK65" i="70"/>
  <c r="U26" i="70"/>
  <c r="AJ52" i="70"/>
  <c r="AK28" i="70"/>
  <c r="X32" i="70"/>
  <c r="D74" i="70"/>
  <c r="T28" i="70"/>
  <c r="U30" i="70"/>
  <c r="M66" i="70"/>
  <c r="AE43" i="70"/>
  <c r="AD18" i="70"/>
  <c r="AF75" i="70"/>
  <c r="AJ40" i="70"/>
  <c r="AI58" i="70"/>
  <c r="AF39" i="70"/>
  <c r="C29" i="70"/>
  <c r="W71" i="70"/>
  <c r="AF17" i="70"/>
  <c r="F47" i="70"/>
  <c r="W76" i="70"/>
  <c r="C13" i="70"/>
  <c r="AJ72" i="70"/>
  <c r="D76" i="70"/>
  <c r="R44" i="70"/>
  <c r="AF52" i="70"/>
  <c r="AG48" i="70"/>
  <c r="Z35" i="70"/>
  <c r="V14" i="70"/>
  <c r="AI67" i="70"/>
  <c r="D14" i="70"/>
  <c r="AA34" i="70"/>
  <c r="AG68" i="70"/>
  <c r="AD13" i="70"/>
  <c r="AI33" i="70"/>
  <c r="AG28" i="70"/>
  <c r="S76" i="70"/>
  <c r="Q7" i="50"/>
  <c r="C23" i="70"/>
  <c r="G28" i="70"/>
  <c r="M26" i="70"/>
  <c r="F20" i="70"/>
  <c r="AG23" i="70"/>
  <c r="R31" i="70"/>
  <c r="AG19" i="70"/>
  <c r="AF72" i="70"/>
  <c r="AA19" i="70"/>
  <c r="AG15" i="70"/>
  <c r="Y20" i="70"/>
  <c r="E66" i="70"/>
  <c r="F64" i="70"/>
  <c r="AA20" i="70"/>
  <c r="R60" i="70"/>
  <c r="Z33" i="70"/>
  <c r="AK30" i="70"/>
  <c r="C53" i="70"/>
  <c r="U54" i="70"/>
  <c r="G65" i="70"/>
  <c r="U23" i="70"/>
  <c r="Q38" i="70"/>
  <c r="AG74" i="70"/>
  <c r="AJ49" i="70"/>
  <c r="R55" i="70"/>
  <c r="AA39" i="70"/>
  <c r="U46" i="70"/>
  <c r="AI37" i="70"/>
  <c r="AD48" i="70"/>
  <c r="Y74" i="70"/>
  <c r="AG14" i="70"/>
  <c r="AA68" i="70"/>
  <c r="S41" i="70"/>
  <c r="AI49" i="70"/>
  <c r="X46" i="70"/>
  <c r="S34" i="70"/>
  <c r="W64" i="70"/>
  <c r="V64" i="70"/>
  <c r="AF54" i="70"/>
  <c r="AB61" i="70"/>
  <c r="Y42" i="70"/>
  <c r="F26" i="70"/>
  <c r="T26" i="70"/>
  <c r="Z72" i="70"/>
  <c r="M29" i="70"/>
  <c r="C72" i="70"/>
  <c r="AF23" i="70"/>
  <c r="AB52" i="70"/>
  <c r="AG46" i="70"/>
  <c r="M36" i="70"/>
  <c r="F42" i="70"/>
  <c r="AK47" i="70"/>
  <c r="AF13" i="70"/>
  <c r="G35" i="70"/>
  <c r="AF24" i="70"/>
  <c r="AJ42" i="70"/>
  <c r="C17" i="70"/>
  <c r="Q39" i="70"/>
  <c r="V45" i="70"/>
  <c r="AA69" i="70"/>
  <c r="M69" i="70"/>
  <c r="AF37" i="70"/>
  <c r="Z48" i="70"/>
  <c r="F38" i="70"/>
  <c r="AI19" i="70"/>
  <c r="AK69" i="70"/>
  <c r="AD20" i="70"/>
  <c r="AF76" i="70"/>
  <c r="AD29" i="70"/>
  <c r="R45" i="70"/>
  <c r="AK58" i="70"/>
  <c r="U56" i="70"/>
  <c r="AD74" i="70"/>
  <c r="AI60" i="70"/>
  <c r="S30" i="70"/>
  <c r="AI46" i="70"/>
  <c r="AA67" i="70"/>
  <c r="M17" i="70"/>
  <c r="W40" i="70"/>
  <c r="AH55" i="70"/>
  <c r="E41" i="70"/>
  <c r="X35" i="70"/>
  <c r="AB47" i="70"/>
  <c r="AJ54" i="70"/>
  <c r="Y29" i="70"/>
  <c r="V26" i="70"/>
  <c r="M76" i="70"/>
  <c r="AD12" i="50"/>
  <c r="AK50" i="70"/>
  <c r="AE47" i="70"/>
  <c r="AH43" i="70"/>
  <c r="R62" i="70"/>
  <c r="AK53" i="70"/>
  <c r="AA36" i="70"/>
  <c r="X68" i="70"/>
  <c r="M57" i="70"/>
  <c r="S54" i="70"/>
  <c r="AH30" i="70"/>
  <c r="AG35" i="70"/>
  <c r="R7" i="50"/>
  <c r="U44" i="70"/>
  <c r="AD16" i="70"/>
  <c r="Y63" i="70"/>
  <c r="AH62" i="70"/>
  <c r="X74" i="70"/>
  <c r="R54" i="70"/>
  <c r="G48" i="70"/>
  <c r="AD35" i="70"/>
  <c r="R74" i="70"/>
  <c r="R69" i="70"/>
  <c r="Q61" i="70"/>
  <c r="AA48" i="70"/>
  <c r="D50" i="70"/>
  <c r="E42" i="70"/>
  <c r="E45" i="70"/>
  <c r="D62" i="70"/>
  <c r="V74" i="70"/>
  <c r="M55" i="70"/>
  <c r="U42" i="70"/>
  <c r="E28" i="70"/>
  <c r="S29" i="70"/>
  <c r="M38" i="70"/>
  <c r="D63" i="70"/>
  <c r="AA35" i="70"/>
  <c r="M21" i="70"/>
  <c r="F51" i="70"/>
  <c r="G72" i="70"/>
  <c r="AD66" i="70"/>
  <c r="AB56" i="70"/>
  <c r="C67" i="70"/>
  <c r="F55" i="70"/>
  <c r="AA66" i="70"/>
  <c r="W48" i="70"/>
  <c r="Q27" i="70"/>
  <c r="W41" i="70"/>
  <c r="W28" i="70"/>
  <c r="AH70" i="70"/>
  <c r="Q7" i="43"/>
  <c r="Y48" i="70"/>
  <c r="AA72" i="70"/>
  <c r="AI34" i="70"/>
  <c r="U14" i="70"/>
  <c r="V65" i="70"/>
  <c r="AI22" i="70"/>
  <c r="U24" i="70"/>
  <c r="Z47" i="70"/>
  <c r="AG49" i="70"/>
  <c r="W62" i="70"/>
  <c r="AH72" i="70"/>
  <c r="U74" i="70"/>
  <c r="Z42" i="70"/>
  <c r="Z30" i="70"/>
  <c r="D20" i="70"/>
  <c r="R18" i="70"/>
  <c r="X56" i="70"/>
  <c r="C15" i="70"/>
  <c r="AI20" i="70"/>
  <c r="X29" i="70"/>
  <c r="Q54" i="70"/>
  <c r="X44" i="70"/>
  <c r="F59" i="70"/>
  <c r="T22" i="70"/>
  <c r="Y64" i="70"/>
  <c r="V15" i="70"/>
  <c r="C56" i="70"/>
  <c r="AG57" i="70"/>
  <c r="V48" i="70"/>
  <c r="E28" i="51"/>
  <c r="AJ68" i="70"/>
  <c r="T55" i="70"/>
  <c r="D34" i="70"/>
  <c r="Z28" i="70"/>
  <c r="T25" i="70"/>
  <c r="U65" i="70"/>
  <c r="S27" i="70"/>
  <c r="AB73" i="70"/>
  <c r="S13" i="51"/>
  <c r="AK17" i="70"/>
  <c r="C57" i="70"/>
  <c r="AI25" i="70"/>
  <c r="Y38" i="70"/>
  <c r="Q20" i="70"/>
  <c r="W31" i="70"/>
  <c r="AI40" i="70"/>
  <c r="AA25" i="70"/>
  <c r="AI38" i="70"/>
  <c r="AF18" i="70"/>
  <c r="U47" i="70"/>
  <c r="Z39" i="70"/>
  <c r="Z29" i="70"/>
  <c r="AE61" i="70"/>
  <c r="Q53" i="70"/>
  <c r="D13" i="70"/>
  <c r="X38" i="70"/>
  <c r="AI16" i="70"/>
  <c r="Q51" i="70"/>
  <c r="Z57" i="70"/>
  <c r="T64" i="70"/>
  <c r="AJ61" i="70"/>
  <c r="AB54" i="70"/>
  <c r="C42" i="70"/>
  <c r="C51" i="70"/>
  <c r="AJ18" i="70"/>
  <c r="Y54" i="70"/>
  <c r="W21" i="70"/>
  <c r="W17" i="70"/>
  <c r="M46" i="70"/>
  <c r="Y37" i="70"/>
  <c r="V56" i="70"/>
  <c r="AK48" i="70"/>
  <c r="Q22" i="70"/>
  <c r="AA56" i="70"/>
  <c r="F19" i="70"/>
  <c r="AD64" i="70"/>
  <c r="U25" i="70"/>
  <c r="S57" i="70"/>
  <c r="R24" i="70"/>
  <c r="E24" i="70"/>
  <c r="Q69" i="70"/>
  <c r="R14" i="70"/>
  <c r="V32" i="70"/>
  <c r="D23" i="70"/>
  <c r="S22" i="70"/>
  <c r="S21" i="70"/>
  <c r="Y35" i="70"/>
  <c r="U63" i="70"/>
  <c r="AG45" i="70"/>
  <c r="W69" i="70"/>
  <c r="W58" i="70"/>
  <c r="E27" i="43"/>
  <c r="AH37" i="70"/>
  <c r="AB48" i="70"/>
  <c r="AH50" i="70"/>
  <c r="AE27" i="70"/>
  <c r="AE67" i="70"/>
  <c r="AF70" i="70"/>
  <c r="D15" i="70"/>
  <c r="Q64" i="70"/>
  <c r="C62" i="70"/>
  <c r="AE59" i="70"/>
  <c r="M16" i="70"/>
  <c r="AJ39" i="70"/>
  <c r="R35" i="70"/>
  <c r="E25" i="50"/>
  <c r="AI24" i="70"/>
  <c r="C64" i="70"/>
  <c r="T24" i="70"/>
  <c r="AF38" i="70"/>
  <c r="W32" i="70"/>
  <c r="U16" i="70"/>
  <c r="Q33" i="70"/>
  <c r="F34" i="70"/>
  <c r="X55" i="70"/>
  <c r="U71" i="70"/>
  <c r="AE18" i="70"/>
  <c r="U67" i="70"/>
  <c r="Q72" i="70"/>
  <c r="S12" i="50"/>
  <c r="E76" i="70"/>
  <c r="U60" i="70"/>
  <c r="Y69" i="70"/>
  <c r="Z62" i="70"/>
  <c r="AD59" i="70"/>
  <c r="V24" i="70"/>
  <c r="AH31" i="70"/>
  <c r="E62" i="70"/>
  <c r="AH74" i="70"/>
  <c r="V50" i="70"/>
  <c r="AA53" i="70"/>
  <c r="AG38" i="70"/>
  <c r="AK76" i="70"/>
  <c r="AH51" i="70"/>
  <c r="G57" i="70"/>
  <c r="AJ55" i="70"/>
  <c r="AG76" i="70"/>
  <c r="R16" i="70"/>
  <c r="W34" i="70"/>
  <c r="W16" i="70"/>
  <c r="AF55" i="70"/>
  <c r="R26" i="70"/>
  <c r="AF50" i="70"/>
  <c r="R20" i="70"/>
  <c r="AI76" i="70"/>
  <c r="AK33" i="70"/>
  <c r="R68" i="70"/>
  <c r="AK31" i="70"/>
  <c r="AA74" i="70"/>
  <c r="C73" i="70"/>
  <c r="Y41" i="70"/>
  <c r="AJ64" i="70"/>
  <c r="AI71" i="70"/>
  <c r="E69" i="70"/>
  <c r="AI28" i="70"/>
  <c r="AF19" i="70"/>
  <c r="W35" i="70"/>
  <c r="M13" i="70"/>
  <c r="G70" i="70"/>
  <c r="AD55" i="70"/>
  <c r="X41" i="70"/>
  <c r="S70" i="70"/>
  <c r="X26" i="70"/>
  <c r="F21" i="70"/>
  <c r="AB44" i="70"/>
  <c r="W26" i="70"/>
  <c r="Y50" i="70"/>
  <c r="AH13" i="70"/>
  <c r="AG62" i="70"/>
  <c r="G74" i="70"/>
  <c r="Q6" i="50"/>
  <c r="AA71" i="70"/>
  <c r="AE38" i="70"/>
  <c r="AE49" i="70"/>
  <c r="G59" i="70"/>
  <c r="T18" i="70"/>
  <c r="V31" i="70"/>
  <c r="W67" i="70"/>
  <c r="AI70" i="70"/>
  <c r="AB66" i="70"/>
  <c r="AH21" i="70"/>
  <c r="AI23" i="70"/>
  <c r="C36" i="70"/>
  <c r="AF16" i="70"/>
  <c r="AA24" i="70"/>
  <c r="E22" i="70"/>
  <c r="S59" i="70"/>
  <c r="C25" i="70"/>
  <c r="G27" i="70"/>
  <c r="U37" i="70"/>
  <c r="Q66" i="70"/>
  <c r="AE56" i="70"/>
  <c r="AJ20" i="70"/>
  <c r="T12" i="43"/>
  <c r="V16" i="70"/>
  <c r="S72" i="70"/>
  <c r="Y21" i="70"/>
  <c r="D18" i="70"/>
  <c r="T72" i="70"/>
  <c r="AB50" i="70"/>
  <c r="Z37" i="70"/>
  <c r="C47" i="70"/>
  <c r="Q40" i="70"/>
  <c r="Z31" i="70"/>
  <c r="AB35" i="70"/>
  <c r="AK60" i="70"/>
  <c r="AJ65" i="70"/>
  <c r="AJ43" i="70"/>
  <c r="AF74" i="70"/>
  <c r="R43" i="70"/>
  <c r="Y68" i="70"/>
  <c r="F57" i="70"/>
  <c r="T30" i="70"/>
  <c r="AD73" i="70"/>
  <c r="AB57" i="70"/>
  <c r="M64" i="70"/>
  <c r="V63" i="70"/>
  <c r="V68" i="70"/>
  <c r="F43" i="70"/>
  <c r="S69" i="70"/>
  <c r="U32" i="70"/>
  <c r="E53" i="70"/>
  <c r="G66" i="70"/>
  <c r="F36" i="70"/>
  <c r="AD36" i="70"/>
  <c r="X34" i="70"/>
  <c r="C75" i="70"/>
  <c r="AF65" i="70"/>
  <c r="AH14" i="70"/>
  <c r="AK70" i="70"/>
  <c r="Y39" i="70"/>
  <c r="G39" i="70"/>
  <c r="M63" i="70"/>
  <c r="X58" i="70"/>
  <c r="AI74" i="70"/>
  <c r="AD8" i="51"/>
  <c r="AI43" i="70"/>
  <c r="S65" i="70"/>
  <c r="M18" i="70"/>
  <c r="AE72" i="70"/>
  <c r="AA76" i="70"/>
  <c r="U61" i="70"/>
  <c r="AG25" i="70"/>
  <c r="S20" i="70"/>
  <c r="Z36" i="70"/>
  <c r="S66" i="70"/>
  <c r="Z73" i="70"/>
  <c r="E28" i="50"/>
  <c r="AE55" i="70"/>
  <c r="G29" i="70"/>
  <c r="T34" i="70"/>
  <c r="AB62" i="70"/>
  <c r="Q17" i="70"/>
  <c r="U40" i="70"/>
  <c r="G64" i="70"/>
  <c r="AI45" i="70"/>
  <c r="M58" i="70"/>
  <c r="AH26" i="70"/>
  <c r="W63" i="70"/>
  <c r="AB41" i="70"/>
  <c r="Z50" i="70"/>
  <c r="AI51" i="70"/>
  <c r="Z59" i="70"/>
  <c r="AA44" i="70"/>
  <c r="X16" i="70"/>
  <c r="AH27" i="70"/>
  <c r="AA59" i="70"/>
  <c r="AK35" i="70"/>
  <c r="S63" i="70"/>
  <c r="F16" i="70"/>
  <c r="AF44" i="70"/>
  <c r="G16" i="70"/>
  <c r="R6" i="43"/>
  <c r="AJ34" i="70"/>
  <c r="C35" i="70"/>
  <c r="X52" i="70"/>
  <c r="AE53" i="70"/>
  <c r="T23" i="70"/>
  <c r="S17" i="70"/>
  <c r="F44" i="70"/>
  <c r="X24" i="70"/>
  <c r="E58" i="70"/>
  <c r="F61" i="70"/>
  <c r="V71" i="70"/>
  <c r="AG54" i="70"/>
  <c r="T69" i="70"/>
  <c r="AB64" i="70"/>
  <c r="AE22" i="70"/>
  <c r="R33" i="70"/>
  <c r="AF29" i="70"/>
  <c r="F39" i="70"/>
  <c r="AD32" i="70"/>
  <c r="AB43" i="70"/>
  <c r="T13" i="70"/>
  <c r="AG51" i="70"/>
  <c r="AE68" i="70"/>
  <c r="AH56" i="70"/>
  <c r="AE42" i="70"/>
  <c r="G43" i="70"/>
  <c r="T61" i="70"/>
  <c r="T53" i="70"/>
  <c r="U76" i="70"/>
  <c r="M68" i="70"/>
  <c r="X49" i="70"/>
  <c r="Q46" i="70"/>
  <c r="AJ73" i="70"/>
  <c r="AK43" i="70"/>
  <c r="T29" i="70"/>
  <c r="S51" i="70"/>
  <c r="X23" i="70"/>
  <c r="AI39" i="70"/>
  <c r="F25" i="70"/>
  <c r="Q49" i="70"/>
  <c r="AG64" i="70"/>
  <c r="AF32" i="70"/>
  <c r="G30" i="70"/>
  <c r="AF57" i="70"/>
  <c r="AF68" i="70"/>
  <c r="T67" i="70"/>
  <c r="Y43" i="70"/>
  <c r="R6" i="50"/>
  <c r="AH35" i="70"/>
  <c r="M19" i="70"/>
  <c r="AF66" i="70"/>
  <c r="AA26" i="70"/>
  <c r="Q52" i="70"/>
  <c r="V69" i="70"/>
  <c r="G46" i="70"/>
  <c r="S73" i="70"/>
  <c r="V33" i="70"/>
  <c r="F40" i="70"/>
  <c r="U73" i="70"/>
  <c r="X51" i="70"/>
  <c r="T75" i="70"/>
  <c r="U53" i="70"/>
  <c r="V41" i="70"/>
  <c r="AF64" i="70"/>
  <c r="AG47" i="70"/>
  <c r="AH48" i="70"/>
  <c r="U55" i="70"/>
  <c r="Q57" i="70"/>
  <c r="G44" i="70"/>
  <c r="U35" i="70"/>
  <c r="R70" i="70"/>
  <c r="AI35" i="70"/>
  <c r="AK38" i="70"/>
  <c r="M24" i="70"/>
  <c r="W24" i="70"/>
  <c r="AE44" i="70"/>
  <c r="AE37" i="70"/>
  <c r="D54" i="70"/>
  <c r="X42" i="70"/>
  <c r="R56" i="70"/>
  <c r="E59" i="70"/>
  <c r="Z66" i="70"/>
  <c r="G58" i="70"/>
  <c r="AK62" i="70"/>
  <c r="AG55" i="70"/>
  <c r="AE24" i="70"/>
  <c r="M40" i="70"/>
  <c r="AK20" i="70"/>
  <c r="AJ47" i="70"/>
  <c r="AE41" i="70"/>
  <c r="AA46" i="70"/>
  <c r="AI61" i="70"/>
  <c r="V20" i="70"/>
  <c r="AD9" i="51"/>
  <c r="Y51" i="70"/>
  <c r="AA60" i="70"/>
  <c r="Y36" i="70"/>
  <c r="E44" i="70"/>
  <c r="AK74" i="70"/>
  <c r="AG53" i="70"/>
  <c r="V19" i="70"/>
  <c r="T52" i="70"/>
  <c r="AD17" i="70"/>
  <c r="X59" i="70"/>
  <c r="C76" i="70"/>
  <c r="C32" i="70"/>
  <c r="C21" i="70"/>
  <c r="C55" i="70"/>
  <c r="AF62" i="70"/>
  <c r="D52" i="70"/>
  <c r="Z23" i="70"/>
  <c r="AI41" i="70"/>
  <c r="AA57" i="70"/>
  <c r="C63" i="70"/>
  <c r="AI59" i="70"/>
  <c r="AD14" i="70"/>
  <c r="AK42" i="70"/>
  <c r="Y16" i="70"/>
  <c r="AB16" i="70"/>
  <c r="W60" i="70"/>
  <c r="U68" i="70"/>
  <c r="R47" i="70"/>
  <c r="V49" i="70"/>
  <c r="S56" i="70"/>
  <c r="AE65" i="70"/>
  <c r="AB67" i="70"/>
  <c r="E54" i="70"/>
  <c r="D66" i="70"/>
  <c r="AE54" i="70"/>
  <c r="T31" i="70"/>
  <c r="Z76" i="70"/>
  <c r="T54" i="70"/>
  <c r="V37" i="70"/>
  <c r="E48" i="70"/>
  <c r="U36" i="70"/>
  <c r="AJ51" i="70"/>
  <c r="E70" i="70"/>
  <c r="S13" i="50"/>
  <c r="D36" i="70"/>
  <c r="E28" i="43"/>
  <c r="T50" i="70"/>
  <c r="AJ37" i="70"/>
  <c r="AE17" i="70"/>
  <c r="AD23" i="70"/>
  <c r="AD22" i="70"/>
  <c r="R53" i="70"/>
  <c r="AH59" i="70"/>
  <c r="R40" i="70"/>
  <c r="E33" i="70"/>
  <c r="AJ62" i="70"/>
  <c r="T41" i="70"/>
  <c r="G75" i="70"/>
  <c r="Z71" i="70"/>
  <c r="E63" i="70"/>
  <c r="W33" i="70"/>
  <c r="AH33" i="70"/>
  <c r="AK27" i="70"/>
  <c r="G54" i="70"/>
  <c r="AD58" i="70"/>
  <c r="AF14" i="70"/>
  <c r="AB36" i="70"/>
  <c r="AB27" i="70"/>
  <c r="AE46" i="70"/>
  <c r="AJ31" i="70"/>
  <c r="R36" i="70"/>
  <c r="Z21" i="70"/>
  <c r="F54" i="70"/>
  <c r="W45" i="70"/>
  <c r="C14" i="70"/>
  <c r="V70" i="70"/>
  <c r="AK22" i="70"/>
  <c r="AH34" i="70"/>
  <c r="AF21" i="70"/>
  <c r="AE64" i="70"/>
  <c r="AE29" i="70"/>
  <c r="W23" i="70"/>
  <c r="AA62" i="70"/>
  <c r="M75" i="70"/>
  <c r="D22" i="70"/>
  <c r="M60" i="70"/>
  <c r="AA51" i="70"/>
  <c r="R61" i="70"/>
  <c r="M56" i="70"/>
  <c r="S68" i="70"/>
  <c r="C68" i="70"/>
  <c r="AK23" i="70"/>
  <c r="AD21" i="70"/>
  <c r="C34" i="70"/>
  <c r="AJ25" i="70"/>
  <c r="T45" i="70"/>
  <c r="C61" i="70"/>
  <c r="M47" i="70"/>
  <c r="C49" i="70"/>
  <c r="M52" i="70"/>
  <c r="R19" i="70"/>
  <c r="Y52" i="70"/>
  <c r="R48" i="70"/>
  <c r="E36" i="70"/>
  <c r="U13" i="70"/>
  <c r="M45" i="70"/>
  <c r="D21" i="70"/>
  <c r="AI21" i="70"/>
  <c r="AF61" i="70"/>
  <c r="AE50" i="70"/>
  <c r="AD70" i="70"/>
  <c r="AE20" i="70"/>
  <c r="AD6" i="43"/>
  <c r="S39" i="70"/>
  <c r="R34" i="70"/>
  <c r="X54" i="70"/>
  <c r="AD40" i="70"/>
  <c r="Y34" i="70"/>
  <c r="S23" i="70"/>
  <c r="S58" i="70"/>
  <c r="F76" i="70"/>
  <c r="Q41" i="70"/>
  <c r="G71" i="70"/>
  <c r="G56" i="70"/>
  <c r="Y27" i="70"/>
  <c r="M14" i="70"/>
  <c r="AA43" i="70"/>
  <c r="M30" i="70"/>
  <c r="D73" i="70"/>
  <c r="AE51" i="70"/>
  <c r="S12" i="43"/>
  <c r="AA61" i="70"/>
  <c r="AB21" i="70"/>
  <c r="R13" i="70"/>
  <c r="AE75" i="70"/>
  <c r="E71" i="70"/>
  <c r="R58" i="70"/>
  <c r="AJ50" i="70"/>
  <c r="AE33" i="70"/>
  <c r="E60" i="70"/>
  <c r="R15" i="70"/>
  <c r="Q63" i="70"/>
  <c r="AI73" i="70"/>
  <c r="T15" i="70"/>
  <c r="E27" i="51"/>
  <c r="V42" i="70"/>
  <c r="AA32" i="70"/>
  <c r="E68" i="70"/>
  <c r="AF49" i="70"/>
  <c r="T38" i="70"/>
  <c r="Z40" i="70"/>
  <c r="U45" i="70"/>
  <c r="T20" i="70"/>
  <c r="T43" i="70"/>
  <c r="F73" i="70"/>
  <c r="AE28" i="70"/>
  <c r="X36" i="70"/>
  <c r="AA50" i="70"/>
  <c r="T70" i="70"/>
  <c r="AH32" i="70"/>
  <c r="R6" i="51"/>
  <c r="T48" i="70"/>
  <c r="AF36" i="70"/>
  <c r="W73" i="70"/>
  <c r="R71" i="70"/>
  <c r="V40" i="70"/>
  <c r="AB29" i="70"/>
  <c r="AE45" i="70"/>
  <c r="AB74" i="70"/>
  <c r="AI31" i="70"/>
  <c r="E73" i="70"/>
  <c r="AF63" i="70"/>
  <c r="AJ69" i="70"/>
  <c r="AF51" i="70"/>
  <c r="D25" i="70"/>
  <c r="AF33" i="70"/>
  <c r="V29" i="70"/>
  <c r="T63" i="70"/>
  <c r="E26" i="70"/>
  <c r="W66" i="70"/>
  <c r="M62" i="70"/>
  <c r="AJ53" i="70"/>
  <c r="AI27" i="70"/>
  <c r="AD65" i="70"/>
  <c r="AE13" i="70"/>
  <c r="C48" i="70"/>
  <c r="AH64" i="70"/>
  <c r="W70" i="70"/>
  <c r="Y62" i="70"/>
  <c r="AG21" i="70"/>
  <c r="AF48" i="70"/>
  <c r="T76" i="70"/>
  <c r="M49" i="70"/>
  <c r="G68" i="70"/>
  <c r="Z60" i="70"/>
  <c r="AK19" i="70"/>
  <c r="D69" i="70"/>
  <c r="G41" i="70"/>
  <c r="C20" i="70"/>
  <c r="R59" i="70"/>
  <c r="Y73" i="70"/>
  <c r="U34" i="70"/>
  <c r="C66" i="70"/>
  <c r="Q65" i="70"/>
  <c r="F17" i="70"/>
  <c r="E24" i="51"/>
  <c r="F33" i="70"/>
  <c r="V39" i="70"/>
  <c r="D37" i="70"/>
  <c r="AF30" i="70"/>
  <c r="AF25" i="70"/>
  <c r="AG36" i="70"/>
  <c r="Q26" i="70"/>
  <c r="D68" i="70"/>
  <c r="AA23" i="70"/>
  <c r="V72" i="70"/>
  <c r="AB70" i="70"/>
  <c r="S19" i="70"/>
  <c r="T40" i="70"/>
  <c r="C24" i="70"/>
  <c r="AD43" i="70"/>
  <c r="AE62" i="70"/>
  <c r="C39" i="70"/>
  <c r="E56" i="70"/>
  <c r="S71" i="70"/>
  <c r="AG69" i="70"/>
  <c r="AD71" i="70"/>
  <c r="Q55" i="70"/>
  <c r="AF22" i="70"/>
  <c r="R67" i="70"/>
  <c r="AB18" i="70"/>
  <c r="D65" i="70"/>
  <c r="X65" i="70"/>
  <c r="D32" i="70"/>
  <c r="X48" i="70"/>
  <c r="AF45" i="70"/>
  <c r="F62" i="70"/>
  <c r="E39" i="70"/>
  <c r="D30" i="70"/>
  <c r="C52" i="70"/>
  <c r="AG72" i="70"/>
  <c r="Y44" i="70"/>
  <c r="X25" i="70"/>
  <c r="S43" i="70"/>
  <c r="AF46" i="70"/>
  <c r="AA40" i="70"/>
  <c r="AF56" i="70"/>
  <c r="S28" i="70"/>
  <c r="AB32" i="70"/>
  <c r="Z69" i="70"/>
  <c r="AD57" i="70"/>
  <c r="AK32" i="70"/>
  <c r="F71" i="70"/>
  <c r="M71" i="70"/>
  <c r="V30" i="70"/>
  <c r="AA17" i="70"/>
  <c r="Z32" i="70"/>
  <c r="Z20" i="70"/>
  <c r="T46" i="70"/>
  <c r="AJ16" i="70"/>
  <c r="AH73" i="70"/>
  <c r="V36" i="70"/>
  <c r="T51" i="70"/>
  <c r="AD28" i="70"/>
  <c r="AD67" i="70"/>
  <c r="S75" i="70"/>
  <c r="X60" i="70"/>
  <c r="AG30" i="70"/>
  <c r="U17" i="70"/>
  <c r="AD30" i="70"/>
  <c r="AB40" i="70"/>
  <c r="AD19" i="70"/>
  <c r="AG37" i="70"/>
  <c r="AJ38" i="70"/>
  <c r="AD69" i="70"/>
  <c r="E34" i="70"/>
  <c r="Y45" i="70"/>
  <c r="W53" i="70"/>
  <c r="AF40" i="70"/>
  <c r="R49" i="70"/>
  <c r="Q42" i="70"/>
  <c r="E57" i="70"/>
  <c r="T19" i="70"/>
  <c r="R17" i="70"/>
  <c r="AD68" i="70"/>
  <c r="R29" i="70"/>
  <c r="AB23" i="70"/>
  <c r="T47" i="70"/>
  <c r="AE25" i="70"/>
  <c r="AB75" i="70"/>
  <c r="X40" i="70"/>
  <c r="M48" i="70"/>
  <c r="Q68" i="70"/>
  <c r="AD56" i="70"/>
  <c r="V52" i="70"/>
  <c r="E64" i="70"/>
  <c r="G55" i="70"/>
  <c r="Y65" i="70"/>
  <c r="G45" i="70"/>
  <c r="AD44" i="70"/>
  <c r="F18" i="70"/>
  <c r="AD9" i="43"/>
  <c r="X70" i="70"/>
  <c r="Q44" i="70"/>
  <c r="AK63" i="70"/>
  <c r="AB28" i="70"/>
  <c r="AJ27" i="70"/>
  <c r="U50" i="70"/>
  <c r="AD47" i="70"/>
  <c r="D17" i="70"/>
  <c r="Q62" i="70"/>
  <c r="Q28" i="70"/>
  <c r="AI66" i="70"/>
  <c r="AE69" i="70"/>
  <c r="W59" i="70"/>
  <c r="E32" i="70"/>
  <c r="S74" i="70"/>
  <c r="AG17" i="70"/>
  <c r="M15" i="70"/>
  <c r="V66" i="70"/>
  <c r="W74" i="70"/>
  <c r="X27" i="70"/>
  <c r="AI62" i="70"/>
  <c r="Z58" i="70"/>
  <c r="AB71" i="70"/>
  <c r="F70" i="70"/>
  <c r="T12" i="51"/>
  <c r="M37" i="70"/>
  <c r="G42" i="70"/>
  <c r="W65" i="70"/>
  <c r="R46" i="70"/>
  <c r="G17" i="70"/>
  <c r="Y67" i="70"/>
  <c r="D61" i="70"/>
  <c r="Y25" i="70"/>
  <c r="V35" i="70"/>
  <c r="AD26" i="70"/>
  <c r="F50" i="70"/>
  <c r="T57" i="70"/>
  <c r="R32" i="70"/>
  <c r="V60" i="70"/>
  <c r="R7" i="43"/>
  <c r="D16" i="70"/>
  <c r="R64" i="70"/>
  <c r="R27" i="70"/>
  <c r="C16" i="70"/>
  <c r="R23" i="70"/>
  <c r="AB76" i="70"/>
  <c r="Y55" i="70"/>
  <c r="F52" i="70"/>
  <c r="AA22" i="70"/>
  <c r="V22" i="70"/>
  <c r="G37" i="70"/>
  <c r="AA45" i="70"/>
  <c r="W52" i="70"/>
  <c r="E25" i="70"/>
  <c r="AA28" i="70"/>
  <c r="Q34" i="70"/>
  <c r="AJ30" i="70"/>
  <c r="S67" i="70"/>
  <c r="AK46" i="70"/>
  <c r="S33" i="70"/>
  <c r="AI64" i="70"/>
  <c r="AJ67" i="70"/>
  <c r="G76" i="70"/>
  <c r="C26" i="70"/>
  <c r="Q67" i="70"/>
  <c r="AE34" i="70"/>
  <c r="X67" i="70"/>
  <c r="AK25" i="70"/>
  <c r="AJ66" i="70"/>
  <c r="AB37" i="70"/>
  <c r="U31" i="70"/>
  <c r="E16" i="70"/>
  <c r="M42" i="70"/>
  <c r="E21" i="70"/>
  <c r="Q60" i="70"/>
  <c r="AK36" i="70"/>
  <c r="G36" i="70"/>
  <c r="R75" i="70"/>
  <c r="AK40" i="70"/>
  <c r="X37" i="70"/>
  <c r="G40" i="70"/>
  <c r="AH46" i="70"/>
  <c r="AH18" i="70"/>
  <c r="T37" i="70"/>
  <c r="S50" i="70"/>
  <c r="AK56" i="70"/>
  <c r="C30" i="70"/>
  <c r="Z34" i="70"/>
  <c r="T66" i="70"/>
  <c r="C27" i="70"/>
  <c r="AB20" i="70"/>
  <c r="Q15" i="70"/>
  <c r="S61" i="70"/>
  <c r="Q18" i="70"/>
  <c r="G25" i="70"/>
  <c r="U48" i="70"/>
  <c r="AH38" i="70"/>
  <c r="Y24" i="70"/>
  <c r="AE60" i="70"/>
  <c r="AJ26" i="70"/>
  <c r="F31" i="70"/>
  <c r="AH16" i="70"/>
  <c r="Q36" i="70"/>
  <c r="V47" i="70"/>
  <c r="AK18" i="70"/>
  <c r="AE36" i="70"/>
  <c r="C65" i="70"/>
  <c r="AE26" i="70"/>
  <c r="C60" i="70"/>
  <c r="AJ75" i="70"/>
  <c r="AG63" i="70"/>
  <c r="W50" i="70"/>
  <c r="AK54" i="70"/>
  <c r="T68" i="70"/>
  <c r="AD6" i="51"/>
  <c r="R65" i="70"/>
  <c r="W47" i="70"/>
  <c r="AH66" i="70"/>
  <c r="T59" i="70"/>
  <c r="AH28" i="70"/>
  <c r="AG31" i="70"/>
  <c r="AG18" i="70"/>
  <c r="W46" i="70"/>
  <c r="AH44" i="70"/>
  <c r="M54" i="70"/>
  <c r="Y33" i="70"/>
  <c r="AG75" i="70"/>
  <c r="F68" i="70"/>
  <c r="AH49" i="70"/>
  <c r="Y47" i="70"/>
  <c r="D28" i="70"/>
  <c r="M20" i="70"/>
  <c r="W49" i="70"/>
  <c r="D26" i="70"/>
  <c r="Y53" i="70"/>
  <c r="U72" i="70"/>
  <c r="D70" i="70"/>
  <c r="AH25" i="70"/>
  <c r="C38" i="70"/>
  <c r="AH15" i="70"/>
  <c r="F53" i="70"/>
  <c r="D51" i="70"/>
  <c r="U19" i="70"/>
  <c r="AJ17" i="70"/>
  <c r="M33" i="70"/>
  <c r="AI18" i="70"/>
  <c r="W75" i="70"/>
  <c r="V28" i="70"/>
  <c r="X21" i="70"/>
  <c r="AK21" i="70"/>
  <c r="AG66" i="70"/>
  <c r="AJ63" i="70"/>
  <c r="AD76" i="70"/>
  <c r="V75" i="70"/>
  <c r="S64" i="70"/>
  <c r="Z26" i="70"/>
  <c r="E35" i="70"/>
  <c r="E55" i="70"/>
  <c r="T44" i="70"/>
  <c r="R38" i="70"/>
  <c r="Z22" i="70"/>
  <c r="U70" i="70"/>
  <c r="AG40" i="70"/>
  <c r="C58" i="70"/>
  <c r="AE40" i="70"/>
  <c r="AD33" i="70"/>
  <c r="E31" i="70"/>
  <c r="R57" i="70"/>
  <c r="AH45" i="70"/>
  <c r="M65" i="70"/>
  <c r="AI15" i="70"/>
  <c r="AG70" i="70"/>
  <c r="W37" i="70"/>
  <c r="AI29" i="70"/>
  <c r="AF47" i="70"/>
  <c r="AK34" i="70"/>
  <c r="G22" i="70"/>
  <c r="AJ71" i="70"/>
  <c r="AB34" i="70"/>
  <c r="AH20" i="70"/>
  <c r="AG39" i="70"/>
  <c r="AB51" i="70"/>
  <c r="Y58" i="70"/>
  <c r="AH61" i="70"/>
  <c r="E50" i="70"/>
  <c r="AJ45" i="70"/>
  <c r="V27" i="70"/>
  <c r="AJ33" i="70"/>
  <c r="X30" i="70"/>
  <c r="AH65" i="70"/>
  <c r="W25" i="70"/>
  <c r="AB45" i="70"/>
  <c r="C74" i="70"/>
  <c r="AD25" i="70"/>
  <c r="V61" i="70"/>
  <c r="Z16" i="70"/>
  <c r="M53" i="70"/>
  <c r="U21" i="70"/>
  <c r="AE48" i="70"/>
  <c r="D46" i="70"/>
  <c r="E75" i="70"/>
  <c r="AK44" i="70"/>
  <c r="D55" i="70"/>
  <c r="R52" i="70"/>
  <c r="M73" i="70"/>
  <c r="V53" i="70"/>
  <c r="M35" i="70"/>
  <c r="AG58" i="70"/>
  <c r="Y19" i="70"/>
  <c r="E24" i="50"/>
  <c r="AJ23" i="70"/>
  <c r="D49" i="70"/>
  <c r="Z44" i="70"/>
  <c r="S12" i="51"/>
  <c r="AG22" i="70"/>
  <c r="AK67" i="70"/>
  <c r="AA16" i="70"/>
  <c r="AI69" i="70"/>
  <c r="Y46" i="70"/>
  <c r="G73" i="70"/>
  <c r="D41" i="70"/>
  <c r="AD12" i="43"/>
  <c r="AB22" i="70"/>
  <c r="AD38" i="70"/>
  <c r="W29" i="70"/>
  <c r="W39" i="70"/>
  <c r="AK45" i="70"/>
  <c r="AB60" i="70"/>
  <c r="F65" i="70"/>
  <c r="AE12" i="43" l="1"/>
  <c r="AF12" i="43" s="1"/>
  <c r="V12" i="51"/>
  <c r="E30" i="50"/>
  <c r="D41" i="50"/>
  <c r="O35" i="70"/>
  <c r="H35" i="70" s="1"/>
  <c r="N35" i="70"/>
  <c r="O73" i="70"/>
  <c r="H73" i="70" s="1"/>
  <c r="N73" i="70"/>
  <c r="N53" i="70"/>
  <c r="O53" i="70"/>
  <c r="H53" i="70" s="1"/>
  <c r="N65" i="70"/>
  <c r="O65" i="70"/>
  <c r="H65" i="70" s="1"/>
  <c r="O33" i="70"/>
  <c r="H33" i="70" s="1"/>
  <c r="N33" i="70"/>
  <c r="O20" i="70"/>
  <c r="H20" i="70" s="1"/>
  <c r="N20" i="70"/>
  <c r="N54" i="70"/>
  <c r="O54" i="70"/>
  <c r="H54" i="70" s="1"/>
  <c r="AE6" i="51"/>
  <c r="AF6" i="51" s="1"/>
  <c r="O42" i="70"/>
  <c r="H42" i="70" s="1"/>
  <c r="N42" i="70"/>
  <c r="Q10" i="43"/>
  <c r="O37" i="70"/>
  <c r="H37" i="70" s="1"/>
  <c r="N37" i="70"/>
  <c r="S8" i="51"/>
  <c r="S16" i="51" s="1"/>
  <c r="O15" i="70"/>
  <c r="H15" i="70" s="1"/>
  <c r="N15" i="70"/>
  <c r="AE9" i="43"/>
  <c r="AF9" i="43" s="1"/>
  <c r="N48" i="70"/>
  <c r="O48" i="70"/>
  <c r="H48" i="70" s="1"/>
  <c r="N71" i="70"/>
  <c r="O71" i="70"/>
  <c r="H71" i="70" s="1"/>
  <c r="D41" i="51"/>
  <c r="E30" i="51"/>
  <c r="N49" i="70"/>
  <c r="O49" i="70"/>
  <c r="H49" i="70" s="1"/>
  <c r="AE9" i="70"/>
  <c r="N62" i="70"/>
  <c r="O62" i="70"/>
  <c r="H62" i="70" s="1"/>
  <c r="Q8" i="51"/>
  <c r="D42" i="51"/>
  <c r="R9" i="70"/>
  <c r="V12" i="43"/>
  <c r="N30" i="70"/>
  <c r="O30" i="70"/>
  <c r="H30" i="70" s="1"/>
  <c r="N14" i="70"/>
  <c r="O14" i="70"/>
  <c r="H14" i="70" s="1"/>
  <c r="AE6" i="43"/>
  <c r="AF6" i="43" s="1"/>
  <c r="N45" i="70"/>
  <c r="O45" i="70"/>
  <c r="H45" i="70" s="1"/>
  <c r="U9" i="70"/>
  <c r="O52" i="70"/>
  <c r="H52" i="70" s="1"/>
  <c r="N52" i="70"/>
  <c r="N47" i="70"/>
  <c r="O47" i="70"/>
  <c r="H47" i="70" s="1"/>
  <c r="O56" i="70"/>
  <c r="H56" i="70" s="1"/>
  <c r="N56" i="70"/>
  <c r="O60" i="70"/>
  <c r="H60" i="70" s="1"/>
  <c r="N60" i="70"/>
  <c r="N75" i="70"/>
  <c r="O75" i="70"/>
  <c r="H75" i="70" s="1"/>
  <c r="V13" i="50"/>
  <c r="AE9" i="51"/>
  <c r="AF9" i="51" s="1"/>
  <c r="N40" i="70"/>
  <c r="O40" i="70"/>
  <c r="H40" i="70" s="1"/>
  <c r="O24" i="70"/>
  <c r="H24" i="70" s="1"/>
  <c r="N24" i="70"/>
  <c r="N19" i="70"/>
  <c r="O19" i="70"/>
  <c r="H19" i="70" s="1"/>
  <c r="Q8" i="50"/>
  <c r="O68" i="70"/>
  <c r="H68" i="70" s="1"/>
  <c r="N68" i="70"/>
  <c r="T9" i="70"/>
  <c r="Q8" i="43"/>
  <c r="N58" i="70"/>
  <c r="O58" i="70"/>
  <c r="H58" i="70" s="1"/>
  <c r="N18" i="70"/>
  <c r="O18" i="70"/>
  <c r="H18" i="70" s="1"/>
  <c r="AE8" i="51"/>
  <c r="AF8" i="51" s="1"/>
  <c r="O63" i="70"/>
  <c r="H63" i="70" s="1"/>
  <c r="N63" i="70"/>
  <c r="O64" i="70"/>
  <c r="H64" i="70" s="1"/>
  <c r="N64" i="70"/>
  <c r="S8" i="43"/>
  <c r="S16" i="43" s="1"/>
  <c r="R8" i="50"/>
  <c r="R10" i="50"/>
  <c r="V6" i="50"/>
  <c r="AH9" i="70"/>
  <c r="N13" i="70"/>
  <c r="O13" i="70"/>
  <c r="H13" i="70" s="1"/>
  <c r="V12" i="50"/>
  <c r="N16" i="70"/>
  <c r="O16" i="70"/>
  <c r="H16" i="70" s="1"/>
  <c r="D42" i="43"/>
  <c r="N46" i="70"/>
  <c r="O46" i="70"/>
  <c r="H46" i="70" s="1"/>
  <c r="V13" i="51"/>
  <c r="V7" i="43"/>
  <c r="O21" i="70"/>
  <c r="H21" i="70" s="1"/>
  <c r="N21" i="70"/>
  <c r="N38" i="70"/>
  <c r="O38" i="70"/>
  <c r="H38" i="70" s="1"/>
  <c r="O55" i="70"/>
  <c r="H55" i="70" s="1"/>
  <c r="N55" i="70"/>
  <c r="Q10" i="50"/>
  <c r="O57" i="70"/>
  <c r="H57" i="70" s="1"/>
  <c r="N57" i="70"/>
  <c r="AE12" i="50"/>
  <c r="AF12" i="50" s="1"/>
  <c r="O76" i="70"/>
  <c r="H76" i="70" s="1"/>
  <c r="N76" i="70"/>
  <c r="O17" i="70"/>
  <c r="H17" i="70" s="1"/>
  <c r="N17" i="70"/>
  <c r="N69" i="70"/>
  <c r="O69" i="70"/>
  <c r="H69" i="70" s="1"/>
  <c r="AF9" i="70"/>
  <c r="O36" i="70"/>
  <c r="H36" i="70" s="1"/>
  <c r="N36" i="70"/>
  <c r="O29" i="70"/>
  <c r="H29" i="70" s="1"/>
  <c r="N29" i="70"/>
  <c r="N26" i="70"/>
  <c r="O26" i="70"/>
  <c r="H26" i="70" s="1"/>
  <c r="V7" i="50"/>
  <c r="AD9" i="70"/>
  <c r="C9" i="70"/>
  <c r="O66" i="70"/>
  <c r="H66" i="70" s="1"/>
  <c r="N66" i="70"/>
  <c r="AE12" i="51"/>
  <c r="AF12" i="51" s="1"/>
  <c r="Q9" i="70"/>
  <c r="Q77" i="70"/>
  <c r="O43" i="70"/>
  <c r="H43" i="70" s="1"/>
  <c r="N43" i="70"/>
  <c r="AE6" i="50"/>
  <c r="AF6" i="50" s="1"/>
  <c r="O39" i="70"/>
  <c r="H39" i="70" s="1"/>
  <c r="N39" i="70"/>
  <c r="R8" i="43"/>
  <c r="R10" i="43"/>
  <c r="V6" i="43"/>
  <c r="V13" i="43"/>
  <c r="S8" i="50"/>
  <c r="S16" i="50" s="1"/>
  <c r="AE8" i="50"/>
  <c r="AF8" i="50" s="1"/>
  <c r="O51" i="70"/>
  <c r="H51" i="70" s="1"/>
  <c r="N51" i="70"/>
  <c r="R10" i="51"/>
  <c r="R8" i="51"/>
  <c r="V6" i="51"/>
  <c r="O41" i="70"/>
  <c r="H41" i="70" s="1"/>
  <c r="N41" i="70"/>
  <c r="AG9" i="70"/>
  <c r="N67" i="70"/>
  <c r="O67" i="70"/>
  <c r="H67" i="70" s="1"/>
  <c r="V7" i="51"/>
  <c r="O28" i="70"/>
  <c r="H28" i="70" s="1"/>
  <c r="N28" i="70"/>
  <c r="V9" i="70"/>
  <c r="AE9" i="50"/>
  <c r="AF9" i="50" s="1"/>
  <c r="D3" i="51"/>
  <c r="E3" i="51"/>
  <c r="F21" i="51"/>
  <c r="F22" i="51"/>
  <c r="O74" i="70"/>
  <c r="H74" i="70" s="1"/>
  <c r="N74" i="70"/>
  <c r="D42" i="50"/>
  <c r="N50" i="70"/>
  <c r="O50" i="70"/>
  <c r="H50" i="70" s="1"/>
  <c r="O23" i="70"/>
  <c r="H23" i="70" s="1"/>
  <c r="N23" i="70"/>
  <c r="AE8" i="43"/>
  <c r="AF8" i="43" s="1"/>
  <c r="O34" i="70"/>
  <c r="H34" i="70" s="1"/>
  <c r="N34" i="70"/>
  <c r="N25" i="70"/>
  <c r="O25" i="70"/>
  <c r="H25" i="70" s="1"/>
  <c r="N72" i="70"/>
  <c r="O72" i="70"/>
  <c r="H72" i="70" s="1"/>
  <c r="S9" i="70"/>
  <c r="D3" i="50"/>
  <c r="F21" i="50"/>
  <c r="F22" i="50"/>
  <c r="E3" i="50"/>
  <c r="N59" i="70"/>
  <c r="O59" i="70"/>
  <c r="H59" i="70" s="1"/>
  <c r="N31" i="70"/>
  <c r="O31" i="70"/>
  <c r="H31" i="70" s="1"/>
  <c r="F21" i="43"/>
  <c r="D3" i="43"/>
  <c r="F22" i="43"/>
  <c r="E3" i="43"/>
  <c r="Q10" i="51"/>
  <c r="E30" i="43"/>
  <c r="D41" i="43"/>
  <c r="O61" i="70"/>
  <c r="H61" i="70" s="1"/>
  <c r="N61" i="70"/>
  <c r="O27" i="70"/>
  <c r="H27" i="70" s="1"/>
  <c r="N27" i="70"/>
  <c r="N44" i="70"/>
  <c r="O44" i="70"/>
  <c r="H44" i="70" s="1"/>
  <c r="N22" i="70"/>
  <c r="O22" i="70"/>
  <c r="H22" i="70" s="1"/>
  <c r="AI9" i="70"/>
  <c r="O32" i="70"/>
  <c r="H32" i="70" s="1"/>
  <c r="N32" i="70"/>
  <c r="N70" i="70"/>
  <c r="O70" i="70"/>
  <c r="H70" i="70" s="1"/>
  <c r="N24" i="43"/>
  <c r="T8" i="50"/>
  <c r="AK15" i="70"/>
  <c r="AJ13" i="70"/>
  <c r="T8" i="51"/>
  <c r="AJ14" i="70"/>
  <c r="T10" i="50"/>
  <c r="T8" i="43"/>
  <c r="T10" i="51"/>
  <c r="N24" i="50"/>
  <c r="AK14" i="70"/>
  <c r="N24" i="51"/>
  <c r="AJ15" i="70"/>
  <c r="T10" i="43"/>
  <c r="AK13" i="70"/>
  <c r="Q16" i="50" l="1"/>
  <c r="R16" i="51"/>
  <c r="Q16" i="51"/>
  <c r="R16" i="50"/>
  <c r="AK9" i="70"/>
  <c r="T16" i="43"/>
  <c r="T16" i="51"/>
  <c r="AJ9" i="70"/>
  <c r="T16" i="50"/>
  <c r="AG12" i="51"/>
  <c r="F9" i="51"/>
  <c r="F12" i="51"/>
  <c r="AC6" i="51"/>
  <c r="F10" i="51"/>
  <c r="AG6" i="51"/>
  <c r="F15" i="51"/>
  <c r="F13" i="51"/>
  <c r="F7" i="51"/>
  <c r="F6" i="51"/>
  <c r="AG14" i="51"/>
  <c r="AG9" i="51"/>
  <c r="AC13" i="51"/>
  <c r="F8" i="51"/>
  <c r="AG8" i="51"/>
  <c r="AC14" i="51"/>
  <c r="AG13" i="51"/>
  <c r="AC12" i="51"/>
  <c r="F14" i="51"/>
  <c r="F11" i="51"/>
  <c r="AC7" i="51"/>
  <c r="AC10" i="51"/>
  <c r="AC8" i="51"/>
  <c r="AC9" i="51"/>
  <c r="AC11" i="51"/>
  <c r="AC15" i="51"/>
  <c r="V10" i="51"/>
  <c r="V10" i="43"/>
  <c r="V8" i="43"/>
  <c r="AG7" i="70"/>
  <c r="AG12" i="43"/>
  <c r="AG6" i="43"/>
  <c r="AC14" i="43"/>
  <c r="AC11" i="43"/>
  <c r="F6" i="43"/>
  <c r="AC9" i="43"/>
  <c r="F9" i="43"/>
  <c r="F11" i="43"/>
  <c r="AC8" i="43"/>
  <c r="AC12" i="43"/>
  <c r="AC13" i="43"/>
  <c r="AG9" i="43"/>
  <c r="AG14" i="43"/>
  <c r="F15" i="43"/>
  <c r="AC7" i="43"/>
  <c r="F8" i="43"/>
  <c r="AC6" i="43"/>
  <c r="AG8" i="43"/>
  <c r="F14" i="43"/>
  <c r="AC15" i="43"/>
  <c r="AC10" i="43"/>
  <c r="F12" i="43"/>
  <c r="AG13" i="43"/>
  <c r="F10" i="43"/>
  <c r="F7" i="43"/>
  <c r="F13" i="43"/>
  <c r="Q16" i="43"/>
  <c r="V8" i="50"/>
  <c r="F11" i="50"/>
  <c r="F7" i="50"/>
  <c r="AG9" i="50"/>
  <c r="AC14" i="50"/>
  <c r="AC12" i="50"/>
  <c r="AG8" i="50"/>
  <c r="AC10" i="50"/>
  <c r="F9" i="50"/>
  <c r="AC15" i="50"/>
  <c r="AC8" i="50"/>
  <c r="AC6" i="50"/>
  <c r="AC9" i="50"/>
  <c r="F6" i="50"/>
  <c r="F13" i="50"/>
  <c r="F8" i="50"/>
  <c r="AC11" i="50"/>
  <c r="F14" i="50"/>
  <c r="AC13" i="50"/>
  <c r="F10" i="50"/>
  <c r="AC7" i="50"/>
  <c r="AG14" i="50"/>
  <c r="AG13" i="50"/>
  <c r="AG6" i="50"/>
  <c r="F12" i="50"/>
  <c r="AG12" i="50"/>
  <c r="F15" i="50"/>
  <c r="V10" i="50"/>
  <c r="V8" i="51"/>
  <c r="R16" i="43"/>
  <c r="H9" i="70"/>
  <c r="AK24" i="51" l="1"/>
  <c r="AK26" i="51" s="1"/>
  <c r="AL24" i="43"/>
  <c r="AL26" i="43" s="1"/>
  <c r="Z22" i="50"/>
  <c r="AC22" i="50" s="1"/>
  <c r="N8" i="51"/>
  <c r="N16" i="51" s="1"/>
  <c r="N22" i="51" s="1"/>
  <c r="AJ24" i="43" a="1"/>
  <c r="AJ24" i="43" s="1"/>
  <c r="AJ26" i="43" s="1"/>
  <c r="Z19" i="50"/>
  <c r="AC19" i="50" s="1"/>
  <c r="E26" i="50" s="1"/>
  <c r="E31" i="50" s="1"/>
  <c r="AJ24" i="50" a="1"/>
  <c r="AJ24" i="50" s="1"/>
  <c r="AJ25" i="50" s="1"/>
  <c r="V16" i="43"/>
  <c r="U16" i="43" s="1"/>
  <c r="AK24" i="43"/>
  <c r="AK26" i="43" s="1"/>
  <c r="Z22" i="51"/>
  <c r="AC22" i="51" s="1"/>
  <c r="V16" i="51"/>
  <c r="U16" i="51" s="1"/>
  <c r="AL24" i="51"/>
  <c r="AL26" i="51" s="1"/>
  <c r="N8" i="43"/>
  <c r="N16" i="43" s="1"/>
  <c r="N22" i="43" s="1"/>
  <c r="N8" i="50"/>
  <c r="N16" i="50" s="1"/>
  <c r="N22" i="50" s="1"/>
  <c r="V16" i="50"/>
  <c r="U16" i="50" s="1"/>
  <c r="Z22" i="43"/>
  <c r="AC22" i="43" s="1"/>
  <c r="G8" i="43"/>
  <c r="M8" i="43"/>
  <c r="G11" i="43"/>
  <c r="M11" i="43"/>
  <c r="M14" i="51"/>
  <c r="G14" i="51"/>
  <c r="G12" i="51"/>
  <c r="H12" i="51" s="1"/>
  <c r="M12" i="51"/>
  <c r="M13" i="50"/>
  <c r="G13" i="50"/>
  <c r="H13" i="50" s="1"/>
  <c r="G9" i="43"/>
  <c r="M9" i="43"/>
  <c r="M6" i="51"/>
  <c r="G6" i="51"/>
  <c r="G9" i="51"/>
  <c r="M9" i="51"/>
  <c r="G8" i="50"/>
  <c r="M8" i="50"/>
  <c r="AA20" i="50"/>
  <c r="AD20" i="50" s="1"/>
  <c r="AA22" i="50"/>
  <c r="AD22" i="50" s="1"/>
  <c r="AA19" i="50"/>
  <c r="AD19" i="50" s="1"/>
  <c r="AA21" i="50"/>
  <c r="AD21" i="50" s="1"/>
  <c r="M10" i="43"/>
  <c r="G10" i="43"/>
  <c r="G6" i="50"/>
  <c r="M6" i="50"/>
  <c r="AJ24" i="51" a="1"/>
  <c r="AJ24" i="51" s="1"/>
  <c r="M12" i="43"/>
  <c r="G12" i="43"/>
  <c r="H12" i="43" s="1"/>
  <c r="G15" i="43"/>
  <c r="M15" i="43"/>
  <c r="M7" i="51"/>
  <c r="G7" i="51"/>
  <c r="H7" i="51" s="1"/>
  <c r="Z21" i="51"/>
  <c r="AC21" i="51" s="1"/>
  <c r="E29" i="51" s="1"/>
  <c r="AA21" i="43"/>
  <c r="AD21" i="43" s="1"/>
  <c r="AA22" i="43"/>
  <c r="AD22" i="43" s="1"/>
  <c r="AA19" i="43"/>
  <c r="AD19" i="43" s="1"/>
  <c r="AA20" i="43"/>
  <c r="AD20" i="43" s="1"/>
  <c r="G6" i="43"/>
  <c r="M6" i="43"/>
  <c r="AK24" i="50"/>
  <c r="M13" i="51"/>
  <c r="G13" i="51"/>
  <c r="H13" i="51" s="1"/>
  <c r="M10" i="50"/>
  <c r="G10" i="50"/>
  <c r="AL24" i="50"/>
  <c r="G15" i="51"/>
  <c r="M15" i="51"/>
  <c r="M15" i="50"/>
  <c r="G15" i="50"/>
  <c r="G7" i="50"/>
  <c r="H7" i="50" s="1"/>
  <c r="M7" i="50"/>
  <c r="G14" i="43"/>
  <c r="M14" i="43"/>
  <c r="N10" i="51"/>
  <c r="AA22" i="51"/>
  <c r="AD22" i="51" s="1"/>
  <c r="AA21" i="51"/>
  <c r="AD21" i="51" s="1"/>
  <c r="AA19" i="51"/>
  <c r="AD19" i="51" s="1"/>
  <c r="AA20" i="51"/>
  <c r="AD20" i="51" s="1"/>
  <c r="M8" i="51"/>
  <c r="G8" i="51"/>
  <c r="Z19" i="51"/>
  <c r="AC19" i="51" s="1"/>
  <c r="E26" i="51" s="1"/>
  <c r="E31" i="51" s="1"/>
  <c r="Z21" i="50"/>
  <c r="AC21" i="50" s="1"/>
  <c r="E29" i="50" s="1"/>
  <c r="G14" i="50"/>
  <c r="M14" i="50"/>
  <c r="G11" i="50"/>
  <c r="M11" i="50"/>
  <c r="M13" i="43"/>
  <c r="G13" i="43"/>
  <c r="H13" i="43" s="1"/>
  <c r="Z19" i="43"/>
  <c r="AC19" i="43" s="1"/>
  <c r="E26" i="43" s="1"/>
  <c r="E31" i="43" s="1"/>
  <c r="N10" i="43"/>
  <c r="G10" i="51"/>
  <c r="M10" i="51"/>
  <c r="N10" i="50"/>
  <c r="G12" i="50"/>
  <c r="H12" i="50" s="1"/>
  <c r="M12" i="50"/>
  <c r="G9" i="50"/>
  <c r="M9" i="50"/>
  <c r="G7" i="43"/>
  <c r="H7" i="43" s="1"/>
  <c r="M7" i="43"/>
  <c r="Z21" i="43"/>
  <c r="AC21" i="43" s="1"/>
  <c r="E29" i="43" s="1"/>
  <c r="G11" i="51"/>
  <c r="M11" i="51"/>
  <c r="G14" i="70"/>
  <c r="F15" i="70"/>
  <c r="G13" i="70"/>
  <c r="G15" i="70"/>
  <c r="AB13" i="70"/>
  <c r="AB14" i="70"/>
  <c r="Z13" i="70"/>
  <c r="F13" i="70"/>
  <c r="F14" i="70"/>
  <c r="X13" i="70"/>
  <c r="Z14" i="70"/>
  <c r="W15" i="70"/>
  <c r="AJ25" i="43" l="1"/>
  <c r="AL25" i="43"/>
  <c r="AK25" i="51"/>
  <c r="AK25" i="43"/>
  <c r="AL25" i="51"/>
  <c r="AJ26" i="50"/>
  <c r="G9" i="70"/>
  <c r="G16" i="51"/>
  <c r="F9" i="70"/>
  <c r="M16" i="51"/>
  <c r="AK26" i="50"/>
  <c r="AK25" i="50"/>
  <c r="AJ26" i="51"/>
  <c r="AJ25" i="51"/>
  <c r="H6" i="51"/>
  <c r="H16" i="51" s="1"/>
  <c r="M16" i="43"/>
  <c r="M16" i="50"/>
  <c r="H6" i="43"/>
  <c r="H16" i="43" s="1"/>
  <c r="G16" i="43"/>
  <c r="H6" i="50"/>
  <c r="H16" i="50" s="1"/>
  <c r="G16" i="50"/>
  <c r="AL25" i="50"/>
  <c r="AL26" i="50"/>
  <c r="W13" i="70"/>
  <c r="AA13" i="70"/>
  <c r="Y14" i="70"/>
  <c r="Y13" i="70"/>
  <c r="AA14" i="70"/>
  <c r="X15" i="70"/>
  <c r="Z15" i="70"/>
  <c r="Y15" i="70"/>
  <c r="AB15" i="70"/>
  <c r="X14" i="70"/>
  <c r="W14" i="70"/>
  <c r="AA15" i="70"/>
  <c r="AA9" i="70" l="1"/>
  <c r="W9" i="70"/>
  <c r="X9" i="70"/>
  <c r="AB9" i="70"/>
  <c r="Y9" i="70"/>
  <c r="Z9" i="70"/>
  <c r="H21" i="51"/>
  <c r="H22" i="51"/>
  <c r="H22" i="43"/>
  <c r="H21" i="43"/>
  <c r="H22" i="50"/>
  <c r="H21" i="50"/>
  <c r="E13" i="70"/>
  <c r="E15" i="70"/>
  <c r="E14" i="70"/>
  <c r="E9" i="70" l="1"/>
  <c r="N25" i="51"/>
  <c r="N21" i="51"/>
  <c r="N25" i="50"/>
  <c r="N21" i="50"/>
  <c r="N25" i="43"/>
  <c r="N21" i="4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John Scrivani</author>
    <author>Stu</author>
    <author>Microsoft Office User</author>
  </authors>
  <commentList>
    <comment ref="C11" authorId="0" shapeId="0" xr:uid="{00000000-0006-0000-0100-000001000000}">
      <text>
        <r>
          <rPr>
            <sz val="9"/>
            <color indexed="81"/>
            <rFont val="Tahoma"/>
            <family val="2"/>
          </rPr>
          <t xml:space="preserve">Current total tree cover as % of land (minus sand, wetland and water)
</t>
        </r>
      </text>
    </comment>
    <comment ref="D11" authorId="0" shapeId="0" xr:uid="{00000000-0006-0000-0100-000002000000}">
      <text>
        <r>
          <rPr>
            <sz val="9"/>
            <color indexed="81"/>
            <rFont val="Tahoma"/>
            <family val="2"/>
          </rPr>
          <t xml:space="preserve">Current impervious cover as % of land (minus sand, wetland and water)
</t>
        </r>
      </text>
    </comment>
    <comment ref="E11" authorId="0" shapeId="0" xr:uid="{00000000-0006-0000-0100-000003000000}">
      <text>
        <r>
          <rPr>
            <sz val="9"/>
            <color indexed="81"/>
            <rFont val="Tahoma"/>
            <family val="2"/>
          </rPr>
          <t xml:space="preserve">Water captured by trees (million gallons)
</t>
        </r>
      </text>
    </comment>
    <comment ref="F11" authorId="0" shapeId="0" xr:uid="{00000000-0006-0000-0100-000004000000}">
      <text>
        <r>
          <rPr>
            <sz val="9"/>
            <color indexed="81"/>
            <rFont val="Tahoma"/>
            <family val="2"/>
          </rPr>
          <t xml:space="preserve">Increase in stormwater runoff after projected loss of tree canopy. (Affected by variable % UTC and % FOS loss)
</t>
        </r>
      </text>
    </comment>
    <comment ref="G11" authorId="0" shapeId="0" xr:uid="{00000000-0006-0000-0100-000005000000}">
      <text>
        <r>
          <rPr>
            <sz val="9"/>
            <color indexed="81"/>
            <rFont val="Tahoma"/>
            <family val="2"/>
          </rPr>
          <t>Additional water captured by tree canopy after achieving canopy goal. (Affected by variable % of PCA)</t>
        </r>
      </text>
    </comment>
    <comment ref="H11" authorId="0" shapeId="0" xr:uid="{00000000-0006-0000-0100-000006000000}">
      <text>
        <r>
          <rPr>
            <sz val="9"/>
            <color indexed="81"/>
            <rFont val="Tahoma"/>
            <family val="2"/>
          </rPr>
          <t>Tree canopy percent after planting and full canopy growth minus any canopy losses (See % of PCA achieved, UTC Loss, and FOS Loss)</t>
        </r>
      </text>
    </comment>
    <comment ref="I11" authorId="0" shapeId="0" xr:uid="{00000000-0006-0000-0100-000007000000}">
      <text>
        <r>
          <rPr>
            <sz val="9"/>
            <color indexed="81"/>
            <rFont val="Tahoma"/>
            <family val="2"/>
          </rPr>
          <t>Choose storm event from dropdown list (from NOAA database - see events tab)</t>
        </r>
      </text>
    </comment>
    <comment ref="J11" authorId="0" shapeId="0" xr:uid="{00000000-0006-0000-0100-000008000000}">
      <text>
        <r>
          <rPr>
            <sz val="9"/>
            <color indexed="81"/>
            <rFont val="Tahoma"/>
            <family val="2"/>
          </rPr>
          <t>Set scenario for loss of urban tree canopy (UTC) and forested open space (FOS) as %'s</t>
        </r>
      </text>
    </comment>
    <comment ref="L11" authorId="0" shapeId="0" xr:uid="{00000000-0006-0000-0100-000009000000}">
      <text>
        <r>
          <rPr>
            <sz val="9"/>
            <color indexed="81"/>
            <rFont val="Tahoma"/>
            <family val="2"/>
          </rPr>
          <t>For loss scenarios set % of converted land that becomes impervious. (if not sure what to use - the Current % Imperivous Cover is good estimate)</t>
        </r>
      </text>
    </comment>
    <comment ref="O11" authorId="1" shapeId="0" xr:uid="{00000000-0006-0000-0100-00000A000000}">
      <text>
        <r>
          <rPr>
            <sz val="9"/>
            <color indexed="81"/>
            <rFont val="Tahoma"/>
            <family val="2"/>
          </rPr>
          <t>If X% of PCA is grown (variable) - this would be the additional canopy area added once fully grown.</t>
        </r>
      </text>
    </comment>
    <comment ref="P11" authorId="0" shapeId="0" xr:uid="{00000000-0006-0000-0100-00000B000000}">
      <text>
        <r>
          <rPr>
            <sz val="9"/>
            <color indexed="81"/>
            <rFont val="Tahoma"/>
            <family val="2"/>
          </rPr>
          <t>Set goal expressed as % of PCA grown</t>
        </r>
      </text>
    </comment>
    <comment ref="Q11" authorId="2" shapeId="0" xr:uid="{00000000-0006-0000-0100-00000C000000}">
      <text>
        <r>
          <rPr>
            <sz val="10"/>
            <color indexed="81"/>
            <rFont val="Calibri"/>
            <family val="2"/>
          </rPr>
          <t xml:space="preserve">Land Use Loading Rates from Chesapeake Bay Region. Rates may be changed on "TheModel" page but should only be changed if rates for all land uses have been developed at the local level.
</t>
        </r>
      </text>
    </comment>
    <comment ref="M12" authorId="0" shapeId="0" xr:uid="{00000000-0006-0000-0100-00000D000000}">
      <text>
        <r>
          <rPr>
            <b/>
            <sz val="9"/>
            <color indexed="81"/>
            <rFont val="Tahoma"/>
            <family val="2"/>
          </rPr>
          <t>Potential Canopy Area</t>
        </r>
        <r>
          <rPr>
            <sz val="9"/>
            <color indexed="81"/>
            <rFont val="Tahoma"/>
            <family val="2"/>
          </rPr>
          <t xml:space="preserve"> Maximum potential canopy area as % of all land. (this would be the % Tree Cover if everywhere that could have trees were planted and fully grown)</t>
        </r>
      </text>
    </comment>
    <comment ref="N12" authorId="0" shapeId="0" xr:uid="{00000000-0006-0000-0100-00000E000000}">
      <text>
        <r>
          <rPr>
            <b/>
            <sz val="9"/>
            <color indexed="81"/>
            <rFont val="Tahoma"/>
            <family val="2"/>
          </rPr>
          <t>Maximum Potential Added Canopy Area</t>
        </r>
        <r>
          <rPr>
            <sz val="9"/>
            <color indexed="81"/>
            <rFont val="Tahoma"/>
            <family val="2"/>
          </rPr>
          <t xml:space="preserve">
Maximum % of potential tree canopy added when all possible planting areas are planted with new trees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ur</author>
    <author>John Scrivani</author>
    <author>Microsoft Office User</author>
  </authors>
  <commentList>
    <comment ref="J4" authorId="0" shapeId="0" xr:uid="{00000000-0006-0000-0200-000001000000}">
      <text>
        <r>
          <rPr>
            <sz val="9"/>
            <color indexed="81"/>
            <rFont val="Tahoma"/>
            <family val="2"/>
          </rPr>
          <t>Landcover if all PPA is planted and grown out to full canopy</t>
        </r>
      </text>
    </comment>
    <comment ref="D5" authorId="1" shapeId="0" xr:uid="{00000000-0006-0000-0200-000002000000}">
      <text>
        <r>
          <rPr>
            <sz val="9"/>
            <color indexed="81"/>
            <rFont val="Tahoma"/>
            <family val="2"/>
          </rPr>
          <t>Acres in landcover</t>
        </r>
      </text>
    </comment>
    <comment ref="E5" authorId="1" shapeId="0" xr:uid="{00000000-0006-0000-0200-000003000000}">
      <text>
        <r>
          <rPr>
            <sz val="9"/>
            <color indexed="81"/>
            <rFont val="Tahoma"/>
            <family val="2"/>
          </rPr>
          <t>% of area in landcover</t>
        </r>
      </text>
    </comment>
    <comment ref="F5" authorId="1" shapeId="0" xr:uid="{00000000-0006-0000-0200-000004000000}">
      <text>
        <r>
          <rPr>
            <sz val="9"/>
            <color indexed="81"/>
            <rFont val="Tahoma"/>
            <family val="2"/>
          </rPr>
          <t>Quantity of surface runoff as inches of precipitation</t>
        </r>
      </text>
    </comment>
    <comment ref="G5" authorId="1" shapeId="0" xr:uid="{00000000-0006-0000-0200-000005000000}">
      <text>
        <r>
          <rPr>
            <sz val="9"/>
            <color indexed="81"/>
            <rFont val="Tahoma"/>
            <family val="2"/>
          </rPr>
          <t>Quantity of runoff from entire area of landcover in thousand cubic feet</t>
        </r>
      </text>
    </comment>
    <comment ref="H5" authorId="1" shapeId="0" xr:uid="{00000000-0006-0000-0200-000006000000}">
      <text>
        <r>
          <rPr>
            <sz val="9"/>
            <color indexed="81"/>
            <rFont val="Tahoma"/>
            <family val="2"/>
          </rPr>
          <t xml:space="preserve">Quantity of runoff captured by tree canopy in thousand cubic feet
</t>
        </r>
      </text>
    </comment>
    <comment ref="K5" authorId="1" shapeId="0" xr:uid="{00000000-0006-0000-0200-000007000000}">
      <text>
        <r>
          <rPr>
            <sz val="9"/>
            <color indexed="81"/>
            <rFont val="Tahoma"/>
            <family val="2"/>
          </rPr>
          <t>Acres in landcover</t>
        </r>
      </text>
    </comment>
    <comment ref="L5" authorId="1" shapeId="0" xr:uid="{00000000-0006-0000-0200-000008000000}">
      <text>
        <r>
          <rPr>
            <sz val="9"/>
            <color indexed="81"/>
            <rFont val="Tahoma"/>
            <family val="2"/>
          </rPr>
          <t>% of area in landcover</t>
        </r>
      </text>
    </comment>
    <comment ref="M5" authorId="1" shapeId="0" xr:uid="{00000000-0006-0000-0200-000009000000}">
      <text>
        <r>
          <rPr>
            <sz val="9"/>
            <color indexed="81"/>
            <rFont val="Tahoma"/>
            <family val="2"/>
          </rPr>
          <t>Quantity of surface runoff as inches of precipitation</t>
        </r>
      </text>
    </comment>
    <comment ref="N5" authorId="1" shapeId="0" xr:uid="{00000000-0006-0000-0200-00000A000000}">
      <text>
        <r>
          <rPr>
            <sz val="9"/>
            <color indexed="81"/>
            <rFont val="Tahoma"/>
            <family val="2"/>
          </rPr>
          <t>Quantity of runoff captured by establishing trees and forests</t>
        </r>
      </text>
    </comment>
    <comment ref="U5" authorId="2" shapeId="0" xr:uid="{00000000-0006-0000-0200-00000B000000}">
      <text>
        <r>
          <rPr>
            <b/>
            <sz val="10"/>
            <color indexed="81"/>
            <rFont val="Calibri"/>
            <family val="2"/>
          </rPr>
          <t>Microsoft Office User:</t>
        </r>
        <r>
          <rPr>
            <sz val="10"/>
            <color indexed="81"/>
            <rFont val="Calibri"/>
            <family val="2"/>
          </rPr>
          <t xml:space="preserve">
This column accounts for unexplained changes in water, bare earth, forested wetlands, wetlands, and sand between the existing and potential land use scanarios. It ensures that scenarios have equal areas and assigns unexplained differences to a general developed landuse of 40% impervious and 60% pervious.</t>
        </r>
      </text>
    </comment>
    <comment ref="Y5" authorId="0" shapeId="0" xr:uid="{00000000-0006-0000-0200-00000C000000}">
      <text>
        <r>
          <rPr>
            <sz val="9"/>
            <color indexed="81"/>
            <rFont val="Tahoma"/>
            <family val="2"/>
          </rPr>
          <t>Avergae curve numbers weighted by acres of ladcover  cover each HSG</t>
        </r>
      </text>
    </comment>
    <comment ref="AB5" authorId="0" shapeId="0" xr:uid="{00000000-0006-0000-0200-00000D000000}">
      <text>
        <r>
          <rPr>
            <sz val="9"/>
            <color indexed="81"/>
            <rFont val="Tahoma"/>
            <family val="2"/>
          </rPr>
          <t>Initial</t>
        </r>
        <r>
          <rPr>
            <b/>
            <sz val="9"/>
            <color indexed="81"/>
            <rFont val="Tahoma"/>
            <family val="2"/>
          </rPr>
          <t xml:space="preserve"> </t>
        </r>
        <r>
          <rPr>
            <sz val="9"/>
            <color indexed="81"/>
            <rFont val="Tahoma"/>
            <family val="2"/>
          </rPr>
          <t>abstraction</t>
        </r>
      </text>
    </comment>
    <comment ref="AC5" authorId="1" shapeId="0" xr:uid="{00000000-0006-0000-0200-00000E000000}">
      <text>
        <r>
          <rPr>
            <sz val="9"/>
            <color indexed="81"/>
            <rFont val="Tahoma"/>
            <family val="2"/>
          </rPr>
          <t>Quantity of surface runoff as inches of precipitation</t>
        </r>
      </text>
    </comment>
    <comment ref="AD5" authorId="0" shapeId="0" xr:uid="{00000000-0006-0000-0200-00000F000000}">
      <text>
        <r>
          <rPr>
            <sz val="9"/>
            <color indexed="81"/>
            <rFont val="Tahoma"/>
            <family val="2"/>
          </rPr>
          <t>Composte CN if canopy removed</t>
        </r>
      </text>
    </comment>
    <comment ref="AF5" authorId="0" shapeId="0" xr:uid="{00000000-0006-0000-0200-000010000000}">
      <text>
        <r>
          <rPr>
            <sz val="9"/>
            <color indexed="81"/>
            <rFont val="Tahoma"/>
            <family val="2"/>
          </rPr>
          <t>Initial</t>
        </r>
        <r>
          <rPr>
            <b/>
            <sz val="9"/>
            <color indexed="81"/>
            <rFont val="Tahoma"/>
            <family val="2"/>
          </rPr>
          <t xml:space="preserve"> </t>
        </r>
        <r>
          <rPr>
            <sz val="9"/>
            <color indexed="81"/>
            <rFont val="Tahoma"/>
            <family val="2"/>
          </rPr>
          <t>abstraction</t>
        </r>
      </text>
    </comment>
    <comment ref="AG5" authorId="1" shapeId="0" xr:uid="{00000000-0006-0000-0200-000011000000}">
      <text>
        <r>
          <rPr>
            <sz val="9"/>
            <color indexed="81"/>
            <rFont val="Tahoma"/>
            <family val="2"/>
          </rPr>
          <t>Quantity of surface runoff as inches of precipitation if canopy removed</t>
        </r>
      </text>
    </comment>
    <comment ref="F19" authorId="1" shapeId="0" xr:uid="{00000000-0006-0000-0200-000012000000}">
      <text>
        <r>
          <rPr>
            <sz val="9"/>
            <color indexed="81"/>
            <rFont val="Tahoma"/>
            <family val="2"/>
          </rPr>
          <t>Canopy / (Total-Water-Wetland)</t>
        </r>
      </text>
    </comment>
    <comment ref="F20" authorId="1" shapeId="0" xr:uid="{00000000-0006-0000-0200-000013000000}">
      <text>
        <r>
          <rPr>
            <sz val="9"/>
            <color indexed="81"/>
            <rFont val="Tahoma"/>
            <family val="2"/>
          </rPr>
          <t>Impervious / (Total-Water-Wetland)</t>
        </r>
      </text>
    </comment>
    <comment ref="N22" authorId="2" shapeId="0" xr:uid="{00000000-0006-0000-0200-000014000000}">
      <text>
        <r>
          <rPr>
            <sz val="10"/>
            <color indexed="81"/>
            <rFont val="Calibri"/>
            <family val="2"/>
          </rPr>
          <t xml:space="preserve">Additional runoff captured by meeting UTC goal
</t>
        </r>
      </text>
    </comment>
    <comment ref="F25" authorId="1" shapeId="0" xr:uid="{00000000-0006-0000-0200-000015000000}">
      <text>
        <r>
          <rPr>
            <sz val="9"/>
            <color indexed="81"/>
            <rFont val="Tahoma"/>
            <family val="2"/>
          </rPr>
          <t>% of land converted to impervious when developed from tree canopy</t>
        </r>
      </text>
    </comment>
    <comment ref="F26" authorId="1" shapeId="0" xr:uid="{00000000-0006-0000-0200-000016000000}">
      <text>
        <r>
          <rPr>
            <sz val="9"/>
            <color indexed="81"/>
            <rFont val="Tahoma"/>
            <family val="2"/>
          </rPr>
          <t>After canopy removal</t>
        </r>
      </text>
    </comment>
    <comment ref="F27" authorId="1" shapeId="0" xr:uid="{00000000-0006-0000-0200-000017000000}">
      <text>
        <r>
          <rPr>
            <sz val="9"/>
            <color indexed="81"/>
            <rFont val="Tahoma"/>
            <family val="2"/>
          </rPr>
          <t>% of forested open space  lost to development</t>
        </r>
      </text>
    </comment>
    <comment ref="F28" authorId="1" shapeId="0" xr:uid="{00000000-0006-0000-0200-000018000000}">
      <text>
        <r>
          <rPr>
            <sz val="9"/>
            <color indexed="81"/>
            <rFont val="Tahoma"/>
            <family val="2"/>
          </rPr>
          <t>% of land converted to impervious when developed from forested open space</t>
        </r>
      </text>
    </comment>
    <comment ref="C31" authorId="1" shapeId="0" xr:uid="{00000000-0006-0000-0200-000019000000}">
      <text>
        <r>
          <rPr>
            <sz val="9"/>
            <color indexed="81"/>
            <rFont val="Tahoma"/>
            <family val="2"/>
          </rPr>
          <t>combined runoff increaaw from lost UTC and FOS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ur</author>
    <author>John Scrivani</author>
    <author>Microsoft Office User</author>
  </authors>
  <commentList>
    <comment ref="J4" authorId="0" shapeId="0" xr:uid="{00000000-0006-0000-0300-000001000000}">
      <text>
        <r>
          <rPr>
            <sz val="9"/>
            <color indexed="81"/>
            <rFont val="Tahoma"/>
            <family val="2"/>
          </rPr>
          <t>Landcover if all PPA is planted and grown out to full canopy</t>
        </r>
      </text>
    </comment>
    <comment ref="D5" authorId="1" shapeId="0" xr:uid="{00000000-0006-0000-0300-000002000000}">
      <text>
        <r>
          <rPr>
            <sz val="9"/>
            <color indexed="81"/>
            <rFont val="Tahoma"/>
            <family val="2"/>
          </rPr>
          <t>Acres in landcover</t>
        </r>
      </text>
    </comment>
    <comment ref="E5" authorId="1" shapeId="0" xr:uid="{00000000-0006-0000-0300-000003000000}">
      <text>
        <r>
          <rPr>
            <sz val="9"/>
            <color indexed="81"/>
            <rFont val="Tahoma"/>
            <family val="2"/>
          </rPr>
          <t>% of area in landcover</t>
        </r>
      </text>
    </comment>
    <comment ref="F5" authorId="1" shapeId="0" xr:uid="{00000000-0006-0000-0300-000004000000}">
      <text>
        <r>
          <rPr>
            <sz val="9"/>
            <color indexed="81"/>
            <rFont val="Tahoma"/>
            <family val="2"/>
          </rPr>
          <t>Quantity of surface runoff as inches of precipitation</t>
        </r>
      </text>
    </comment>
    <comment ref="G5" authorId="1" shapeId="0" xr:uid="{00000000-0006-0000-0300-000005000000}">
      <text>
        <r>
          <rPr>
            <sz val="9"/>
            <color indexed="81"/>
            <rFont val="Tahoma"/>
            <family val="2"/>
          </rPr>
          <t>Quantity of runoff from entire area of landcover in thousand cubic feet</t>
        </r>
      </text>
    </comment>
    <comment ref="H5" authorId="1" shapeId="0" xr:uid="{00000000-0006-0000-0300-000006000000}">
      <text>
        <r>
          <rPr>
            <sz val="9"/>
            <color indexed="81"/>
            <rFont val="Tahoma"/>
            <family val="2"/>
          </rPr>
          <t xml:space="preserve">Quantity of runoff captured by tree canopy in thousand cubic feet
</t>
        </r>
      </text>
    </comment>
    <comment ref="K5" authorId="1" shapeId="0" xr:uid="{00000000-0006-0000-0300-000007000000}">
      <text>
        <r>
          <rPr>
            <sz val="9"/>
            <color indexed="81"/>
            <rFont val="Tahoma"/>
            <family val="2"/>
          </rPr>
          <t>Acres in landcover</t>
        </r>
      </text>
    </comment>
    <comment ref="L5" authorId="1" shapeId="0" xr:uid="{00000000-0006-0000-0300-000008000000}">
      <text>
        <r>
          <rPr>
            <sz val="9"/>
            <color indexed="81"/>
            <rFont val="Tahoma"/>
            <family val="2"/>
          </rPr>
          <t>% of area in landcover</t>
        </r>
      </text>
    </comment>
    <comment ref="M5" authorId="1" shapeId="0" xr:uid="{00000000-0006-0000-0300-000009000000}">
      <text>
        <r>
          <rPr>
            <sz val="9"/>
            <color indexed="81"/>
            <rFont val="Tahoma"/>
            <family val="2"/>
          </rPr>
          <t>Quantity of surface runoff as inches of precipitation</t>
        </r>
      </text>
    </comment>
    <comment ref="N5" authorId="1" shapeId="0" xr:uid="{00000000-0006-0000-0300-00000A000000}">
      <text>
        <r>
          <rPr>
            <sz val="9"/>
            <color indexed="81"/>
            <rFont val="Tahoma"/>
            <family val="2"/>
          </rPr>
          <t>Quantity of runoff captured by establishing trees and forests</t>
        </r>
      </text>
    </comment>
    <comment ref="U5" authorId="2" shapeId="0" xr:uid="{00000000-0006-0000-0300-00000B000000}">
      <text>
        <r>
          <rPr>
            <b/>
            <sz val="10"/>
            <color indexed="81"/>
            <rFont val="Calibri"/>
            <family val="2"/>
          </rPr>
          <t>Microsoft Office User:</t>
        </r>
        <r>
          <rPr>
            <sz val="10"/>
            <color indexed="81"/>
            <rFont val="Calibri"/>
            <family val="2"/>
          </rPr>
          <t xml:space="preserve">
This column accounts for unexplained changes in water, bare earth, forested wetlands, wetlands, and sand between the existing and potential land use scanarios. It ensures that scenarios have equal areas and assigns unexplained differences to a general developed landuse of 40% impervious and 60% pervious.</t>
        </r>
      </text>
    </comment>
    <comment ref="Y5" authorId="0" shapeId="0" xr:uid="{00000000-0006-0000-0300-00000C000000}">
      <text>
        <r>
          <rPr>
            <sz val="9"/>
            <color indexed="81"/>
            <rFont val="Tahoma"/>
            <family val="2"/>
          </rPr>
          <t>Avergae curve numbers weighted by acres of ladcover  cover each HSG</t>
        </r>
      </text>
    </comment>
    <comment ref="AB5" authorId="0" shapeId="0" xr:uid="{00000000-0006-0000-0300-00000D000000}">
      <text>
        <r>
          <rPr>
            <sz val="9"/>
            <color indexed="81"/>
            <rFont val="Tahoma"/>
            <family val="2"/>
          </rPr>
          <t>Initial</t>
        </r>
        <r>
          <rPr>
            <b/>
            <sz val="9"/>
            <color indexed="81"/>
            <rFont val="Tahoma"/>
            <family val="2"/>
          </rPr>
          <t xml:space="preserve"> </t>
        </r>
        <r>
          <rPr>
            <sz val="9"/>
            <color indexed="81"/>
            <rFont val="Tahoma"/>
            <family val="2"/>
          </rPr>
          <t>abstraction</t>
        </r>
      </text>
    </comment>
    <comment ref="AC5" authorId="1" shapeId="0" xr:uid="{00000000-0006-0000-0300-00000E000000}">
      <text>
        <r>
          <rPr>
            <sz val="9"/>
            <color indexed="81"/>
            <rFont val="Tahoma"/>
            <family val="2"/>
          </rPr>
          <t>Quantity of surface runoff as inches of precipitation</t>
        </r>
      </text>
    </comment>
    <comment ref="AD5" authorId="0" shapeId="0" xr:uid="{00000000-0006-0000-0300-00000F000000}">
      <text>
        <r>
          <rPr>
            <sz val="9"/>
            <color indexed="81"/>
            <rFont val="Tahoma"/>
            <family val="2"/>
          </rPr>
          <t>Composte CN if canopy removed</t>
        </r>
      </text>
    </comment>
    <comment ref="AF5" authorId="0" shapeId="0" xr:uid="{00000000-0006-0000-0300-000010000000}">
      <text>
        <r>
          <rPr>
            <sz val="9"/>
            <color indexed="81"/>
            <rFont val="Tahoma"/>
            <family val="2"/>
          </rPr>
          <t>Initial</t>
        </r>
        <r>
          <rPr>
            <b/>
            <sz val="9"/>
            <color indexed="81"/>
            <rFont val="Tahoma"/>
            <family val="2"/>
          </rPr>
          <t xml:space="preserve"> </t>
        </r>
        <r>
          <rPr>
            <sz val="9"/>
            <color indexed="81"/>
            <rFont val="Tahoma"/>
            <family val="2"/>
          </rPr>
          <t>abstraction</t>
        </r>
      </text>
    </comment>
    <comment ref="AG5" authorId="1" shapeId="0" xr:uid="{00000000-0006-0000-0300-000011000000}">
      <text>
        <r>
          <rPr>
            <sz val="9"/>
            <color indexed="81"/>
            <rFont val="Tahoma"/>
            <family val="2"/>
          </rPr>
          <t>Quantity of surface runoff as inches of precipitation if canopy removed</t>
        </r>
      </text>
    </comment>
    <comment ref="F19" authorId="1" shapeId="0" xr:uid="{00000000-0006-0000-0300-000012000000}">
      <text>
        <r>
          <rPr>
            <sz val="9"/>
            <color indexed="81"/>
            <rFont val="Tahoma"/>
            <family val="2"/>
          </rPr>
          <t>Canopy / (Total-Water-Wetland)</t>
        </r>
      </text>
    </comment>
    <comment ref="F20" authorId="1" shapeId="0" xr:uid="{00000000-0006-0000-0300-000013000000}">
      <text>
        <r>
          <rPr>
            <sz val="9"/>
            <color indexed="81"/>
            <rFont val="Tahoma"/>
            <family val="2"/>
          </rPr>
          <t>Impervious / (Total-Water-Wetland)</t>
        </r>
      </text>
    </comment>
    <comment ref="N22" authorId="2" shapeId="0" xr:uid="{00000000-0006-0000-0300-000014000000}">
      <text>
        <r>
          <rPr>
            <sz val="10"/>
            <color indexed="81"/>
            <rFont val="Calibri"/>
            <family val="2"/>
          </rPr>
          <t xml:space="preserve">Additional runoff captured by meeting UTC goal
</t>
        </r>
      </text>
    </comment>
    <comment ref="F25" authorId="1" shapeId="0" xr:uid="{00000000-0006-0000-0300-000015000000}">
      <text>
        <r>
          <rPr>
            <sz val="9"/>
            <color indexed="81"/>
            <rFont val="Tahoma"/>
            <family val="2"/>
          </rPr>
          <t>% of land converted to impervious when developed from tree canopy</t>
        </r>
      </text>
    </comment>
    <comment ref="F26" authorId="1" shapeId="0" xr:uid="{00000000-0006-0000-0300-000016000000}">
      <text>
        <r>
          <rPr>
            <sz val="9"/>
            <color indexed="81"/>
            <rFont val="Tahoma"/>
            <family val="2"/>
          </rPr>
          <t>After canopy removal</t>
        </r>
      </text>
    </comment>
    <comment ref="F27" authorId="1" shapeId="0" xr:uid="{00000000-0006-0000-0300-000017000000}">
      <text>
        <r>
          <rPr>
            <sz val="9"/>
            <color indexed="81"/>
            <rFont val="Tahoma"/>
            <family val="2"/>
          </rPr>
          <t>% of forested open space  lost to development</t>
        </r>
      </text>
    </comment>
    <comment ref="F28" authorId="1" shapeId="0" xr:uid="{00000000-0006-0000-0300-000018000000}">
      <text>
        <r>
          <rPr>
            <sz val="9"/>
            <color indexed="81"/>
            <rFont val="Tahoma"/>
            <family val="2"/>
          </rPr>
          <t>% of land converted to impervious when developed from forested open space</t>
        </r>
      </text>
    </comment>
    <comment ref="C31" authorId="1" shapeId="0" xr:uid="{00000000-0006-0000-0300-000019000000}">
      <text>
        <r>
          <rPr>
            <sz val="9"/>
            <color indexed="81"/>
            <rFont val="Tahoma"/>
            <family val="2"/>
          </rPr>
          <t>combined runoff increaaw from lost UTC and FOS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ur</author>
    <author>John Scrivani</author>
    <author>Microsoft Office User</author>
  </authors>
  <commentList>
    <comment ref="J4" authorId="0" shapeId="0" xr:uid="{00000000-0006-0000-0400-000001000000}">
      <text>
        <r>
          <rPr>
            <sz val="9"/>
            <color indexed="81"/>
            <rFont val="Tahoma"/>
            <family val="2"/>
          </rPr>
          <t>Landcover if all PPA is planted and grown out to full canopy</t>
        </r>
      </text>
    </comment>
    <comment ref="D5" authorId="1" shapeId="0" xr:uid="{00000000-0006-0000-0400-000002000000}">
      <text>
        <r>
          <rPr>
            <sz val="9"/>
            <color indexed="81"/>
            <rFont val="Tahoma"/>
            <family val="2"/>
          </rPr>
          <t>Acres in landcover</t>
        </r>
      </text>
    </comment>
    <comment ref="E5" authorId="1" shapeId="0" xr:uid="{00000000-0006-0000-0400-000003000000}">
      <text>
        <r>
          <rPr>
            <sz val="9"/>
            <color indexed="81"/>
            <rFont val="Tahoma"/>
            <family val="2"/>
          </rPr>
          <t>% of area in landcover</t>
        </r>
      </text>
    </comment>
    <comment ref="F5" authorId="1" shapeId="0" xr:uid="{00000000-0006-0000-0400-000004000000}">
      <text>
        <r>
          <rPr>
            <sz val="9"/>
            <color indexed="81"/>
            <rFont val="Tahoma"/>
            <family val="2"/>
          </rPr>
          <t>Quantity of surface runoff as inches of precipitation</t>
        </r>
      </text>
    </comment>
    <comment ref="G5" authorId="1" shapeId="0" xr:uid="{00000000-0006-0000-0400-000005000000}">
      <text>
        <r>
          <rPr>
            <sz val="9"/>
            <color indexed="81"/>
            <rFont val="Tahoma"/>
            <family val="2"/>
          </rPr>
          <t>Quantity of runoff from entire area of landcover in thousand cubic feet</t>
        </r>
      </text>
    </comment>
    <comment ref="H5" authorId="1" shapeId="0" xr:uid="{00000000-0006-0000-0400-000006000000}">
      <text>
        <r>
          <rPr>
            <sz val="9"/>
            <color indexed="81"/>
            <rFont val="Tahoma"/>
            <family val="2"/>
          </rPr>
          <t xml:space="preserve">Quantity of runoff captured by tree canopy in thousand cubic feet
</t>
        </r>
      </text>
    </comment>
    <comment ref="K5" authorId="1" shapeId="0" xr:uid="{00000000-0006-0000-0400-000007000000}">
      <text>
        <r>
          <rPr>
            <sz val="9"/>
            <color indexed="81"/>
            <rFont val="Tahoma"/>
            <family val="2"/>
          </rPr>
          <t>Acres in landcover</t>
        </r>
      </text>
    </comment>
    <comment ref="L5" authorId="1" shapeId="0" xr:uid="{00000000-0006-0000-0400-000008000000}">
      <text>
        <r>
          <rPr>
            <sz val="9"/>
            <color indexed="81"/>
            <rFont val="Tahoma"/>
            <family val="2"/>
          </rPr>
          <t>% of area in landcover</t>
        </r>
      </text>
    </comment>
    <comment ref="M5" authorId="1" shapeId="0" xr:uid="{00000000-0006-0000-0400-000009000000}">
      <text>
        <r>
          <rPr>
            <sz val="9"/>
            <color indexed="81"/>
            <rFont val="Tahoma"/>
            <family val="2"/>
          </rPr>
          <t>Quantity of surface runoff as inches of precipitation</t>
        </r>
      </text>
    </comment>
    <comment ref="N5" authorId="1" shapeId="0" xr:uid="{00000000-0006-0000-0400-00000A000000}">
      <text>
        <r>
          <rPr>
            <sz val="9"/>
            <color indexed="81"/>
            <rFont val="Tahoma"/>
            <family val="2"/>
          </rPr>
          <t>Quantity of runoff captured by establishing trees and forests</t>
        </r>
      </text>
    </comment>
    <comment ref="U5" authorId="2" shapeId="0" xr:uid="{00000000-0006-0000-0400-00000B000000}">
      <text>
        <r>
          <rPr>
            <b/>
            <sz val="10"/>
            <color indexed="81"/>
            <rFont val="Calibri"/>
            <family val="2"/>
          </rPr>
          <t>Microsoft Office User:</t>
        </r>
        <r>
          <rPr>
            <sz val="10"/>
            <color indexed="81"/>
            <rFont val="Calibri"/>
            <family val="2"/>
          </rPr>
          <t xml:space="preserve">
This column accounts for unexplained changes in water, bare earth, forested wetlands, wetlands, and sand between the existing and potential land use scanarios. It ensures that scenarios have equal areas and assigns unexplained differences to a general developed landuse of 40% impervious and 60% pervious.</t>
        </r>
      </text>
    </comment>
    <comment ref="Y5" authorId="0" shapeId="0" xr:uid="{00000000-0006-0000-0400-00000C000000}">
      <text>
        <r>
          <rPr>
            <sz val="9"/>
            <color indexed="81"/>
            <rFont val="Tahoma"/>
            <family val="2"/>
          </rPr>
          <t>Avergae curve numbers weighted by acres of ladcover  cover each HSG</t>
        </r>
      </text>
    </comment>
    <comment ref="AB5" authorId="0" shapeId="0" xr:uid="{00000000-0006-0000-0400-00000D000000}">
      <text>
        <r>
          <rPr>
            <sz val="9"/>
            <color indexed="81"/>
            <rFont val="Tahoma"/>
            <family val="2"/>
          </rPr>
          <t>Initial</t>
        </r>
        <r>
          <rPr>
            <b/>
            <sz val="9"/>
            <color indexed="81"/>
            <rFont val="Tahoma"/>
            <family val="2"/>
          </rPr>
          <t xml:space="preserve"> </t>
        </r>
        <r>
          <rPr>
            <sz val="9"/>
            <color indexed="81"/>
            <rFont val="Tahoma"/>
            <family val="2"/>
          </rPr>
          <t>abstraction</t>
        </r>
      </text>
    </comment>
    <comment ref="AC5" authorId="1" shapeId="0" xr:uid="{00000000-0006-0000-0400-00000E000000}">
      <text>
        <r>
          <rPr>
            <sz val="9"/>
            <color indexed="81"/>
            <rFont val="Tahoma"/>
            <family val="2"/>
          </rPr>
          <t>Quantity of surface runoff as inches of precipitation</t>
        </r>
      </text>
    </comment>
    <comment ref="AD5" authorId="0" shapeId="0" xr:uid="{00000000-0006-0000-0400-00000F000000}">
      <text>
        <r>
          <rPr>
            <sz val="9"/>
            <color indexed="81"/>
            <rFont val="Tahoma"/>
            <family val="2"/>
          </rPr>
          <t>Composte CN if canopy removed</t>
        </r>
      </text>
    </comment>
    <comment ref="AF5" authorId="0" shapeId="0" xr:uid="{00000000-0006-0000-0400-000010000000}">
      <text>
        <r>
          <rPr>
            <sz val="9"/>
            <color indexed="81"/>
            <rFont val="Tahoma"/>
            <family val="2"/>
          </rPr>
          <t>Initial</t>
        </r>
        <r>
          <rPr>
            <b/>
            <sz val="9"/>
            <color indexed="81"/>
            <rFont val="Tahoma"/>
            <family val="2"/>
          </rPr>
          <t xml:space="preserve"> </t>
        </r>
        <r>
          <rPr>
            <sz val="9"/>
            <color indexed="81"/>
            <rFont val="Tahoma"/>
            <family val="2"/>
          </rPr>
          <t>abstraction</t>
        </r>
      </text>
    </comment>
    <comment ref="AG5" authorId="1" shapeId="0" xr:uid="{00000000-0006-0000-0400-000011000000}">
      <text>
        <r>
          <rPr>
            <sz val="9"/>
            <color indexed="81"/>
            <rFont val="Tahoma"/>
            <family val="2"/>
          </rPr>
          <t>Quantity of surface runoff as inches of precipitation if canopy removed</t>
        </r>
      </text>
    </comment>
    <comment ref="F19" authorId="1" shapeId="0" xr:uid="{00000000-0006-0000-0400-000012000000}">
      <text>
        <r>
          <rPr>
            <sz val="9"/>
            <color indexed="81"/>
            <rFont val="Tahoma"/>
            <family val="2"/>
          </rPr>
          <t>Canopy / (Total-Water-Wetland)</t>
        </r>
      </text>
    </comment>
    <comment ref="F20" authorId="1" shapeId="0" xr:uid="{00000000-0006-0000-0400-000013000000}">
      <text>
        <r>
          <rPr>
            <sz val="9"/>
            <color indexed="81"/>
            <rFont val="Tahoma"/>
            <family val="2"/>
          </rPr>
          <t>Impervious / (Total-Water-Wetland)</t>
        </r>
      </text>
    </comment>
    <comment ref="N22" authorId="2" shapeId="0" xr:uid="{00000000-0006-0000-0400-000014000000}">
      <text>
        <r>
          <rPr>
            <sz val="10"/>
            <color indexed="81"/>
            <rFont val="Calibri"/>
            <family val="2"/>
          </rPr>
          <t xml:space="preserve">Additional runoff captured by meeting UTC goal
</t>
        </r>
      </text>
    </comment>
    <comment ref="F25" authorId="1" shapeId="0" xr:uid="{00000000-0006-0000-0400-000015000000}">
      <text>
        <r>
          <rPr>
            <sz val="9"/>
            <color indexed="81"/>
            <rFont val="Tahoma"/>
            <family val="2"/>
          </rPr>
          <t>% of land converted to impervious when developed from tree canopy</t>
        </r>
      </text>
    </comment>
    <comment ref="F26" authorId="1" shapeId="0" xr:uid="{00000000-0006-0000-0400-000016000000}">
      <text>
        <r>
          <rPr>
            <sz val="9"/>
            <color indexed="81"/>
            <rFont val="Tahoma"/>
            <family val="2"/>
          </rPr>
          <t>After canopy removal</t>
        </r>
      </text>
    </comment>
    <comment ref="F27" authorId="1" shapeId="0" xr:uid="{00000000-0006-0000-0400-000017000000}">
      <text>
        <r>
          <rPr>
            <sz val="9"/>
            <color indexed="81"/>
            <rFont val="Tahoma"/>
            <family val="2"/>
          </rPr>
          <t>% of forested open space  lost to development</t>
        </r>
      </text>
    </comment>
    <comment ref="F28" authorId="1" shapeId="0" xr:uid="{00000000-0006-0000-0400-000018000000}">
      <text>
        <r>
          <rPr>
            <sz val="9"/>
            <color indexed="81"/>
            <rFont val="Tahoma"/>
            <family val="2"/>
          </rPr>
          <t>% of land converted to impervious when developed from forested open space</t>
        </r>
      </text>
    </comment>
    <comment ref="C31" authorId="1" shapeId="0" xr:uid="{00000000-0006-0000-0400-000019000000}">
      <text>
        <r>
          <rPr>
            <sz val="9"/>
            <color indexed="81"/>
            <rFont val="Tahoma"/>
            <family val="2"/>
          </rPr>
          <t>combined runoff increaaw from lost UTC and FOS</t>
        </r>
      </text>
    </comment>
  </commentList>
</comments>
</file>

<file path=xl/sharedStrings.xml><?xml version="1.0" encoding="utf-8"?>
<sst xmlns="http://schemas.openxmlformats.org/spreadsheetml/2006/main" count="922" uniqueCount="306">
  <si>
    <t>What this model does (and does not) do</t>
  </si>
  <si>
    <t>*</t>
  </si>
  <si>
    <t>You can use this template to estimate the quantity of stormwater captured by tree canopies for areas of mixed landcover. You can obtain estimates for multiple regions with different landcover mixes. Rough estimates of N, P and sediment load reductions provided by tree canopy are also provided.</t>
  </si>
  <si>
    <t>You can use this template to simulate different scenarios of tree canopy loss or addition, and see the resulting changes in stormwater capture and nutrient load reductions. This feature if design to help communities set realistic tree canopy goals and estimate the benefits of obtaining those goals.</t>
  </si>
  <si>
    <t>Required inputs for the model are acres of landcover by hydrologic soils groups (A,B,C &amp; D). These can be generated in a GIS using landcover and soil map layers. Alternatively, if you have the required data in tabular form, or from development plans, you can populate the required data sheets manually.</t>
  </si>
  <si>
    <t>The summary tab can be used to create various scenarios and see the summary results immediately.</t>
  </si>
  <si>
    <t>This model is not accurate enough for stormwater engineering projects and should not be used for engineering or permitting purposes.</t>
  </si>
  <si>
    <t>While design stormwater events are used in simulation, actual runoff yields will vary with antecedent conditions and the health and leaf-on/off condition of the tree canopy</t>
  </si>
  <si>
    <t>How to use this model</t>
  </si>
  <si>
    <t>Steps for a new analysis</t>
  </si>
  <si>
    <t>Sheet</t>
  </si>
  <si>
    <t>Cell</t>
  </si>
  <si>
    <t>Enter community name</t>
  </si>
  <si>
    <t>Summary</t>
  </si>
  <si>
    <t>A1</t>
  </si>
  <si>
    <t>Load landcover data</t>
  </si>
  <si>
    <t>Landcover</t>
  </si>
  <si>
    <t>B5:K68</t>
  </si>
  <si>
    <t>Load landcover potential data</t>
  </si>
  <si>
    <t>LoandcoverPotential</t>
  </si>
  <si>
    <t>Load landcover/soils data</t>
  </si>
  <si>
    <t>LC_HSG_Data</t>
  </si>
  <si>
    <t>B6:CE69</t>
  </si>
  <si>
    <t>Enter storm event data</t>
  </si>
  <si>
    <t>Events</t>
  </si>
  <si>
    <t>B3:D9</t>
  </si>
  <si>
    <t>Set canopy interception parameter</t>
  </si>
  <si>
    <t>C12</t>
  </si>
  <si>
    <t>Set curve number adjustment parameter</t>
  </si>
  <si>
    <t>C13</t>
  </si>
  <si>
    <t>Copy basin spreadsheets</t>
  </si>
  <si>
    <t>NOTES</t>
  </si>
  <si>
    <t>This model allows the user to modify some assumptions, drainage basin by drainage basin, and see the impact upon stormwater runoff yield and precent tree canopy.</t>
  </si>
  <si>
    <t>To run different scenarios the user can change, for one or more drainage basins, the following parameters. Within each drainage basin tab (Tabs 1-12) the user can modify the cells corresponding to each parameter.</t>
  </si>
  <si>
    <t>Parameter</t>
  </si>
  <si>
    <t>Description</t>
  </si>
  <si>
    <t>Storm event</t>
  </si>
  <si>
    <t>C3</t>
  </si>
  <si>
    <t>Precipitation from a given storm event</t>
  </si>
  <si>
    <t>Ci</t>
  </si>
  <si>
    <t>F14</t>
  </si>
  <si>
    <t>canopy interception term</t>
  </si>
  <si>
    <t>CN adjust</t>
  </si>
  <si>
    <t>L64</t>
  </si>
  <si>
    <t xml:space="preserve">CN adjustment for tree impact on soil </t>
  </si>
  <si>
    <t>% loss</t>
  </si>
  <si>
    <t>I16</t>
  </si>
  <si>
    <t>Canopy loss  %</t>
  </si>
  <si>
    <t>% impervious</t>
  </si>
  <si>
    <t>I15</t>
  </si>
  <si>
    <t xml:space="preserve">% impervious of landcover after loss of canopy </t>
  </si>
  <si>
    <t>Tree canopy goal</t>
  </si>
  <si>
    <t>Q16</t>
  </si>
  <si>
    <t>% tree canopy set as a goal (constrained by max potential canopy estimates)</t>
  </si>
  <si>
    <t>The results will be updated automatically  on the summary tab.</t>
  </si>
  <si>
    <t>Cell format legend</t>
  </si>
  <si>
    <t>Data Input</t>
  </si>
  <si>
    <t>Changeable Default (not recommended)</t>
  </si>
  <si>
    <t>Calculations</t>
  </si>
  <si>
    <t>Explanatory</t>
  </si>
  <si>
    <t>Urban Tree Canopy Stormwater Model</t>
  </si>
  <si>
    <t>version</t>
  </si>
  <si>
    <t>The Green Infrastructure Urban Tree Canopy Stormwater Model estimates stormwater runoff yields for current and potential land cover. The methodology is based upon the NRCS TR-55 method for small urban watersheds.  It is used to provide better estimates using GIC's high-resolution land cover and modeling of potential canopy area.</t>
  </si>
  <si>
    <t>TC+Tcimperv</t>
  </si>
  <si>
    <t>million gallons</t>
  </si>
  <si>
    <t>Acres</t>
  </si>
  <si>
    <t>TOTALS</t>
  </si>
  <si>
    <t>Statistics by Drainage Basin (current settings)</t>
  </si>
  <si>
    <t>Variable</t>
  </si>
  <si>
    <t>Supporting Calculations</t>
  </si>
  <si>
    <t>Area</t>
  </si>
  <si>
    <t>Current Tree Cover</t>
  </si>
  <si>
    <t>Current Impervious Cover</t>
  </si>
  <si>
    <t xml:space="preserve">Tree H20 Capture </t>
  </si>
  <si>
    <t>Increased H2O w/xx% tree loss</t>
  </si>
  <si>
    <t>Added H2O Capture w/xx% PCA</t>
  </si>
  <si>
    <t>Adjusted Tree Cover from loss and gain scenarios</t>
  </si>
  <si>
    <t>Pick an Event</t>
  </si>
  <si>
    <t>Pick a loss scenario</t>
  </si>
  <si>
    <t xml:space="preserve">Converted Land </t>
  </si>
  <si>
    <t>Canopy Added</t>
  </si>
  <si>
    <t>Enter % canopy to add</t>
  </si>
  <si>
    <t>Non-Point Pollution Captured by Existing Trees                                      (% = percent of total load without trees)</t>
  </si>
  <si>
    <t>Change in Pollution Load from Landuse Variables                                (% = percent increase or decrease of total load)</t>
  </si>
  <si>
    <t>%</t>
  </si>
  <si>
    <t>Event</t>
  </si>
  <si>
    <t>% UTC loss</t>
  </si>
  <si>
    <t>% FOS Loss</t>
  </si>
  <si>
    <t>% Imperv</t>
  </si>
  <si>
    <t>Max TC Possible</t>
  </si>
  <si>
    <t>Maximum Potential Added Canopy Area</t>
  </si>
  <si>
    <t>% Canopy Added</t>
  </si>
  <si>
    <t>% of PCA achieved</t>
  </si>
  <si>
    <t>N lbs/yr</t>
  </si>
  <si>
    <t>N (%)</t>
  </si>
  <si>
    <t>P lbs/yr</t>
  </si>
  <si>
    <t>P (%)</t>
  </si>
  <si>
    <t>SED t/yr</t>
  </si>
  <si>
    <t>SED (%)</t>
  </si>
  <si>
    <t xml:space="preserve">Total Area WS </t>
  </si>
  <si>
    <t>Area WS (minus wetland, water)</t>
  </si>
  <si>
    <t>Current Pervious Cover</t>
  </si>
  <si>
    <t>Potential Additional Canopy Area</t>
  </si>
  <si>
    <t>UTC Loss</t>
  </si>
  <si>
    <t>FOS Loss</t>
  </si>
  <si>
    <t>1 yr / 24 hour      </t>
  </si>
  <si>
    <t xml:space="preserve">Event </t>
  </si>
  <si>
    <t>P (in)</t>
  </si>
  <si>
    <t>Source</t>
  </si>
  <si>
    <t>Existing Landcover</t>
  </si>
  <si>
    <t>Potential Landcover - Increased Tree Cover</t>
  </si>
  <si>
    <t>Landcover Change Scenarios</t>
  </si>
  <si>
    <t>Formula components</t>
  </si>
  <si>
    <t>Nutrient Estimates</t>
  </si>
  <si>
    <t>Average Annual Load Estimates</t>
  </si>
  <si>
    <t>acres</t>
  </si>
  <si>
    <t>Q Runoff (in)</t>
  </si>
  <si>
    <t>Runoff  (TCF)</t>
  </si>
  <si>
    <t>Capture (TCF)</t>
  </si>
  <si>
    <t>Runoff / acre (cf)</t>
  </si>
  <si>
    <t>Capture (MCF)</t>
  </si>
  <si>
    <t>UTC Gain</t>
  </si>
  <si>
    <t>FOS Gain</t>
  </si>
  <si>
    <t>Error</t>
  </si>
  <si>
    <t>Composite CN's</t>
  </si>
  <si>
    <t>CN</t>
  </si>
  <si>
    <t>S</t>
  </si>
  <si>
    <t>Ia</t>
  </si>
  <si>
    <t>Q</t>
  </si>
  <si>
    <t>Chesapeake Bay Program 2017</t>
  </si>
  <si>
    <t>N (lbs/yr)</t>
  </si>
  <si>
    <t>P (lbs/yr)</t>
  </si>
  <si>
    <t>Sed  (tons/yr)</t>
  </si>
  <si>
    <t>Tree Canopy</t>
  </si>
  <si>
    <t>Tree Canopy over Impervious</t>
  </si>
  <si>
    <t>Pervious</t>
  </si>
  <si>
    <t>Water</t>
  </si>
  <si>
    <t>Impervious</t>
  </si>
  <si>
    <t>Bare Earth</t>
  </si>
  <si>
    <t>Forested Open Space</t>
  </si>
  <si>
    <t>Forested Wetlands</t>
  </si>
  <si>
    <t>Wetlands</t>
  </si>
  <si>
    <t>Scrub/Shrub/Palm</t>
  </si>
  <si>
    <t>totals</t>
  </si>
  <si>
    <t>Matrix of Runoff Increases by Landcover  Change</t>
  </si>
  <si>
    <t>Total Non-Point Pollution Load from Existing Landcover</t>
  </si>
  <si>
    <t>Changed Landcover</t>
  </si>
  <si>
    <t>Non-Point Pollution Captured by Existing Trees</t>
  </si>
  <si>
    <t>Summary Results</t>
  </si>
  <si>
    <t>Original Landcover</t>
  </si>
  <si>
    <t>P</t>
  </si>
  <si>
    <t>I</t>
  </si>
  <si>
    <t>W</t>
  </si>
  <si>
    <t>Non-Point Load Reduction by Existing Trees (%)</t>
  </si>
  <si>
    <t>Percent tree canopy</t>
  </si>
  <si>
    <t>existing</t>
  </si>
  <si>
    <t>max</t>
  </si>
  <si>
    <t>Percent Impervious</t>
  </si>
  <si>
    <t>min</t>
  </si>
  <si>
    <t>Total Non-Point Pollution Load from Potential Landcover</t>
  </si>
  <si>
    <t>Runoff avoided due to trees (%)</t>
  </si>
  <si>
    <t>Additional ruoff avoided (%)</t>
  </si>
  <si>
    <t>Non-Point Pollution Captured by New Trees</t>
  </si>
  <si>
    <t>Runoff avoided due to trees (million gallons)</t>
  </si>
  <si>
    <t>Additional runoff avoided (million gallons)</t>
  </si>
  <si>
    <t>Additional Non-Point Load Reduction (%)</t>
  </si>
  <si>
    <t>What-If  Scenarios</t>
  </si>
  <si>
    <t>inches</t>
  </si>
  <si>
    <t>Urban tree canopy loss</t>
  </si>
  <si>
    <t xml:space="preserve"> % UTC loss</t>
  </si>
  <si>
    <t>GOAL: Added canopy (% of total area)</t>
  </si>
  <si>
    <t>Note: This matrix is used to compute runoff increases in the What-If scenario</t>
  </si>
  <si>
    <t>Total Non-Point Pollution Load with Loss Variables</t>
  </si>
  <si>
    <t>&lt;- Set % impervious</t>
  </si>
  <si>
    <t>TOTAL EVENT RUNOFF</t>
  </si>
  <si>
    <t>The inches columns are increased depths of runoff</t>
  </si>
  <si>
    <t>Change in Non-Point Pollution Load with Loss Variables</t>
  </si>
  <si>
    <t>Additional stormwater runoff</t>
  </si>
  <si>
    <t>The cubic feet columns are increased quantities of runoff</t>
  </si>
  <si>
    <t>Change in Non-Point Pollution Load (%)</t>
  </si>
  <si>
    <t>Forested open space loss</t>
  </si>
  <si>
    <t>% FOS loss</t>
  </si>
  <si>
    <t>TOTAL TREE CANOPY SUMMARY</t>
  </si>
  <si>
    <t>total canopy loss</t>
  </si>
  <si>
    <t>Supporting Calcs</t>
  </si>
  <si>
    <t>Area Minus Wetland and Water</t>
  </si>
  <si>
    <t>Total Tree Canopy</t>
  </si>
  <si>
    <t>Total Potential Tree Canopy</t>
  </si>
  <si>
    <t>Total Impervious Area (inclding under TC)</t>
  </si>
  <si>
    <t>Total Pervious Area (including TC)</t>
  </si>
  <si>
    <t>Urban Tree Canopy Loss</t>
  </si>
  <si>
    <t>Forest Open Space Loss</t>
  </si>
  <si>
    <t>How the Model Works</t>
  </si>
  <si>
    <t>This model uses high-resolution land cover maps, overlain with soils data, to estimate stormwater runoff yield using the NRCS TR-55 Curve number method.</t>
  </si>
  <si>
    <t>LandCover</t>
  </si>
  <si>
    <t>The landcover data used was developed from 2016 NAIP 1-m resolution leaf-on aerial imagery and spectral image analysis. Ancillary data were used to refine the classification, including datasest of built infrastructure and wetlands from the National Wetlands Inventory. Spatial adjaceny and contiguity analyses were used to identify forested open spaces.</t>
  </si>
  <si>
    <t>The 10 landcover classes are:</t>
  </si>
  <si>
    <t>Notes</t>
  </si>
  <si>
    <t>Trees over pervious</t>
  </si>
  <si>
    <t>Trees over Impervious</t>
  </si>
  <si>
    <t>Forested open space</t>
  </si>
  <si>
    <t>Forested wetland</t>
  </si>
  <si>
    <t>Stormwater Runoff Yield Estimation</t>
  </si>
  <si>
    <t>The landcover map was combined with a map of hydrologic soil groups (source: NRCS SSURGO) to calculate areas of landcover within each soil hydrolgic group.  The area counts were used to compute composite curve numbers for each drainage basin and landcover combination. The table below provided the curve numbers used for each landcover/soil group combination.</t>
  </si>
  <si>
    <t>Curve Numbers from TR-55</t>
  </si>
  <si>
    <t>A</t>
  </si>
  <si>
    <t>A/D</t>
  </si>
  <si>
    <t>B</t>
  </si>
  <si>
    <t>B/D</t>
  </si>
  <si>
    <t>C</t>
  </si>
  <si>
    <t>C/D</t>
  </si>
  <si>
    <t>D</t>
  </si>
  <si>
    <t>This line was previously Sand. (now Scrub/Shrub/Palm calculated as average of TC and Pervious)</t>
  </si>
  <si>
    <t>Canopy Interception and CN Modification</t>
  </si>
  <si>
    <t>The model incorporates two modifications in an attempt to more accurately estimate the stormwater capture of tree canopies. The canopy interception term (Hynicka &amp; Divers, 2016) is meant to account for the mechanism of tree canopies in intercept, evaporating and transpiring water. The CN adjustment term is meant to account for increased infiltration of water in soils with leaf litter and subject to the ameliorating actions of tree root systems.</t>
  </si>
  <si>
    <t>These terms may be used or modified at the user dsicretion, as shown below:</t>
  </si>
  <si>
    <t>Recommended</t>
  </si>
  <si>
    <t>Choices</t>
  </si>
  <si>
    <t>Canopy interception</t>
  </si>
  <si>
    <t>CN adjustment</t>
  </si>
  <si>
    <t>CNadj</t>
  </si>
  <si>
    <r>
      <t xml:space="preserve">Tree canopy works to reduce the proportion of precipitation that becomes stream and surface flow, also known as </t>
    </r>
    <r>
      <rPr>
        <i/>
        <sz val="12"/>
        <color rgb="FF000000"/>
        <rFont val="Calibri"/>
        <family val="2"/>
        <scheme val="minor"/>
      </rPr>
      <t>water yield</t>
    </r>
    <r>
      <rPr>
        <sz val="12"/>
        <color rgb="FF000000"/>
        <rFont val="Calibri"/>
        <family val="2"/>
        <scheme val="minor"/>
      </rPr>
      <t>. A study by Hynicka and Divers (2016) modified the water yield equation of the SCS model by adding a canopy interception term (</t>
    </r>
    <r>
      <rPr>
        <i/>
        <sz val="12"/>
        <color rgb="FF000000"/>
        <rFont val="Calibri"/>
        <family val="2"/>
        <scheme val="minor"/>
      </rPr>
      <t>C</t>
    </r>
    <r>
      <rPr>
        <i/>
        <vertAlign val="subscript"/>
        <sz val="12"/>
        <color rgb="FF000000"/>
        <rFont val="Calibri"/>
        <family val="2"/>
        <scheme val="minor"/>
      </rPr>
      <t>i</t>
    </r>
    <r>
      <rPr>
        <sz val="12"/>
        <color rgb="FF000000"/>
        <rFont val="Calibri"/>
        <family val="2"/>
        <scheme val="minor"/>
      </rPr>
      <t>) to account for the role that canopy plays in capturing stormwater, resulting in:</t>
    </r>
  </si>
  <si>
    <r>
      <t>Where R is runoff, P is precipitation, I</t>
    </r>
    <r>
      <rPr>
        <vertAlign val="subscript"/>
        <sz val="12"/>
        <color rgb="FF000000"/>
        <rFont val="Calibri"/>
        <family val="2"/>
        <scheme val="minor"/>
      </rPr>
      <t>a</t>
    </r>
    <r>
      <rPr>
        <sz val="12"/>
        <color rgb="FF000000"/>
        <rFont val="Calibri"/>
        <family val="2"/>
        <scheme val="minor"/>
      </rPr>
      <t xml:space="preserve"> is the initial abstraction, and S is the potential maximum retention after runoff begins for the subject land cover (S = 1000/CN – 10).</t>
    </r>
  </si>
  <si>
    <t>Land-Use Loading Rates</t>
  </si>
  <si>
    <t>Land Use Loading Rates from Chesapeake Bay Program Phase 6 Land-Use Model</t>
  </si>
  <si>
    <t>N</t>
  </si>
  <si>
    <t>SED</t>
  </si>
  <si>
    <t>lbs/ac/yr</t>
  </si>
  <si>
    <t>tons/ac/yr</t>
  </si>
  <si>
    <t>acre-in to million gallons</t>
  </si>
  <si>
    <t>acre-ft to gal</t>
  </si>
  <si>
    <t>Design Events &amp; Misc Parameters</t>
  </si>
  <si>
    <t>Design Event</t>
  </si>
  <si>
    <t>2 yr / 24 hour      </t>
  </si>
  <si>
    <t>5 yr / 24 hour                               </t>
  </si>
  <si>
    <t>10 yr / 24 hour      </t>
  </si>
  <si>
    <t>25 yr / 24 hour      </t>
  </si>
  <si>
    <t>50 yr / 24 hour      </t>
  </si>
  <si>
    <t>100 yr / 24 hour      </t>
  </si>
  <si>
    <t>Modeling Parameters</t>
  </si>
  <si>
    <t>Set CN Adjustments for Tree Canopy Cover</t>
  </si>
  <si>
    <t>our recommendation is -2</t>
  </si>
  <si>
    <t>Set Canopy Interception Term</t>
  </si>
  <si>
    <t>our recommendation .050</t>
  </si>
  <si>
    <t>NOAA Precipitation Frequency Data Server (PFDS)</t>
  </si>
  <si>
    <t>Location information:</t>
  </si>
  <si>
    <t>LANDCOVER CROSS TABULATIONS</t>
  </si>
  <si>
    <t>Landcover minus water/wetland</t>
  </si>
  <si>
    <t>Note:</t>
  </si>
  <si>
    <t>No</t>
  </si>
  <si>
    <t>AREA</t>
  </si>
  <si>
    <t>TREE CANOPY</t>
  </si>
  <si>
    <t>TC OVER IMPERV</t>
  </si>
  <si>
    <t>PERVIOUS</t>
  </si>
  <si>
    <t>WATER</t>
  </si>
  <si>
    <t>IMPERVIOUS</t>
  </si>
  <si>
    <t>BARE_EARTH</t>
  </si>
  <si>
    <t>FORESTED OPEN SPACE</t>
  </si>
  <si>
    <t>FORESTED WETLANDS</t>
  </si>
  <si>
    <t>WETLAND</t>
  </si>
  <si>
    <t>TOTAL</t>
  </si>
  <si>
    <t>This table is generally computed by a GIS overlay of a land cover map.</t>
  </si>
  <si>
    <t>However, for site level analysis land cover acreage can be entered manually if the values are known.</t>
  </si>
  <si>
    <t>Notes:</t>
  </si>
  <si>
    <t>LANDCOVER POTENTIAL CROSS TABULATIONS</t>
  </si>
  <si>
    <t>BASIN</t>
  </si>
  <si>
    <t>WETLANDS</t>
  </si>
  <si>
    <t>LANDCOVER BY HYDROLOGIC SOIL GROUPS</t>
  </si>
  <si>
    <t>Composite Curve Numbers</t>
  </si>
  <si>
    <t>WT-TCP-PER</t>
  </si>
  <si>
    <t>WT-FOS-PER</t>
  </si>
  <si>
    <t>WT-PER-TCP</t>
  </si>
  <si>
    <t>WT-PER-FOS</t>
  </si>
  <si>
    <t>TreeCanopy</t>
  </si>
  <si>
    <t>TreeCanopyImperv</t>
  </si>
  <si>
    <t>Totals</t>
  </si>
  <si>
    <t>TreeCanopy Imperv</t>
  </si>
  <si>
    <t>Bare earth</t>
  </si>
  <si>
    <t>Forested Wetland</t>
  </si>
  <si>
    <t>X</t>
  </si>
  <si>
    <t>Prop</t>
  </si>
  <si>
    <t>Name:</t>
  </si>
  <si>
    <t>Station name:</t>
  </si>
  <si>
    <t>Site ID:</t>
  </si>
  <si>
    <t>Latitude:</t>
  </si>
  <si>
    <t>Longitude:</t>
  </si>
  <si>
    <t>Elevation:</t>
  </si>
  <si>
    <t>Yellow highlighted cells, the value is derived from the Chesapeake Assessment Scenario Tool (CAST) Model</t>
  </si>
  <si>
    <t>Forested Open space does not include Mangrove (IE: Wooded Wetland).
Tree Canopy might be reported differently elsewhere. This tree canopy does not include Palm trees where possible to exclude.</t>
  </si>
  <si>
    <t>P=pervious, I - impervious, W= Wetlands</t>
  </si>
  <si>
    <t>Abbreviations</t>
  </si>
  <si>
    <t>PCA</t>
  </si>
  <si>
    <t>WS</t>
  </si>
  <si>
    <t>TC</t>
  </si>
  <si>
    <t>UTC</t>
  </si>
  <si>
    <t>FOS</t>
  </si>
  <si>
    <t>Potential Canopy Area - areas where additional tree canopy is possible</t>
  </si>
  <si>
    <t>Nitrogen - a common nutrient found in stormwater runoff that contributes to poor water quality</t>
  </si>
  <si>
    <t>Phosphourus - a common nutrient found in stormwater runoff that contributes to poor water quality</t>
  </si>
  <si>
    <t>Sediment - soil particles that erode from the landscape and get carried away by stormwater into local waterways and cause poor water quality</t>
  </si>
  <si>
    <t>Curve Number - a number stormwater engineers use to calculate surface runoff based on land cover and underlying soils</t>
  </si>
  <si>
    <t>Watershed - an area of land where all of the water drains to a single location</t>
  </si>
  <si>
    <t>Tree Canopy - tree cover in a given area (includes urban tree canopy and forested open space)</t>
  </si>
  <si>
    <t>Urban Tree Canopy - composed of individual trees and small patches of trees surrounded by lawn or pavement</t>
  </si>
  <si>
    <t>Forested Open Space - large patches of trees with multiple layers of understory vegetation, litter layer and more organic soils</t>
  </si>
  <si>
    <t>Loss in Canopy Cover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</si>
</sst>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409]mmmm\ d\,\ yyyy;@"/>
    <numFmt numFmtId="165" formatCode="0.0%"/>
    <numFmt numFmtId="166" formatCode="_(* #,##0.0_);_(* \(#,##0.0\);_(* &quot;-&quot;??_);_(@_)"/>
    <numFmt numFmtId="167" formatCode="_(* #,##0_);_(* \(#,##0\);_(* &quot;-&quot;??_);_(@_)"/>
    <numFmt numFmtId="168" formatCode="0.0%;0.0%;&quot;-&quot;"/>
    <numFmt numFmtId="169" formatCode="0.0"/>
    <numFmt numFmtId="170" formatCode="0.000"/>
    <numFmt numFmtId="171" formatCode="#,##0.0"/>
  </numFmts>
  <fonts count="66" x14ac:knownFonts="1">
    <font>
      <sz val="11"/>
      <color theme="1"/>
      <name val="Calibri"/>
      <family val="2"/>
      <scheme val="minor"/>
    </font>
    <font>
      <sz val="11"/>
      <color theme="1"/>
      <name val="Calibri"/>
      <family val="2"/>
      <scheme val="minor"/>
    </font>
    <font>
      <sz val="11"/>
      <color rgb="FF3F3F76"/>
      <name val="Calibri"/>
      <family val="2"/>
      <scheme val="minor"/>
    </font>
    <font>
      <b/>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0"/>
      <name val="Calibri"/>
      <family val="2"/>
      <scheme val="minor"/>
    </font>
    <font>
      <b/>
      <sz val="12"/>
      <color theme="0"/>
      <name val="Calibri"/>
      <family val="2"/>
      <scheme val="minor"/>
    </font>
    <font>
      <i/>
      <sz val="12"/>
      <color theme="1"/>
      <name val="Calibri"/>
      <family val="2"/>
      <scheme val="minor"/>
    </font>
    <font>
      <i/>
      <sz val="11"/>
      <color theme="1" tint="0.34998626667073579"/>
      <name val="Calibri"/>
      <family val="2"/>
      <scheme val="minor"/>
    </font>
    <font>
      <b/>
      <sz val="12"/>
      <color theme="1"/>
      <name val="Calibri"/>
      <family val="2"/>
      <scheme val="minor"/>
    </font>
    <font>
      <sz val="11"/>
      <color theme="4" tint="-0.249977111117893"/>
      <name val="Calibri"/>
      <family val="2"/>
      <scheme val="minor"/>
    </font>
    <font>
      <sz val="11"/>
      <color theme="9" tint="-0.249977111117893"/>
      <name val="Calibri"/>
      <family val="2"/>
      <scheme val="minor"/>
    </font>
    <font>
      <sz val="11"/>
      <color theme="0" tint="-0.499984740745262"/>
      <name val="Calibri"/>
      <family val="2"/>
      <scheme val="minor"/>
    </font>
    <font>
      <sz val="12"/>
      <color theme="1"/>
      <name val="Calibri"/>
      <family val="2"/>
      <scheme val="minor"/>
    </font>
    <font>
      <sz val="10"/>
      <color theme="1"/>
      <name val="Calibri"/>
      <family val="2"/>
      <scheme val="minor"/>
    </font>
    <font>
      <sz val="11"/>
      <name val="Calibri"/>
      <family val="2"/>
      <scheme val="minor"/>
    </font>
    <font>
      <i/>
      <sz val="11"/>
      <color rgb="FFFF0000"/>
      <name val="Calibri"/>
      <family val="2"/>
      <scheme val="minor"/>
    </font>
    <font>
      <sz val="11"/>
      <color theme="0" tint="-0.34998626667073579"/>
      <name val="Calibri"/>
      <family val="2"/>
      <scheme val="minor"/>
    </font>
    <font>
      <sz val="11"/>
      <color theme="0" tint="-0.249977111117893"/>
      <name val="Calibri"/>
      <family val="2"/>
      <scheme val="minor"/>
    </font>
    <font>
      <b/>
      <sz val="10"/>
      <color theme="1"/>
      <name val="Calibri"/>
      <family val="2"/>
      <scheme val="minor"/>
    </font>
    <font>
      <sz val="11"/>
      <color theme="2" tint="-0.499984740745262"/>
      <name val="Calibri"/>
      <family val="2"/>
      <scheme val="minor"/>
    </font>
    <font>
      <sz val="10"/>
      <color theme="2" tint="-0.499984740745262"/>
      <name val="Calibri"/>
      <family val="2"/>
      <scheme val="minor"/>
    </font>
    <font>
      <b/>
      <sz val="11"/>
      <name val="Calibri"/>
      <family val="2"/>
      <scheme val="minor"/>
    </font>
    <font>
      <sz val="11"/>
      <color theme="0" tint="-0.14999847407452621"/>
      <name val="Calibri"/>
      <family val="2"/>
      <scheme val="minor"/>
    </font>
    <font>
      <b/>
      <sz val="16"/>
      <color theme="1"/>
      <name val="Calibri"/>
      <family val="2"/>
      <scheme val="minor"/>
    </font>
    <font>
      <i/>
      <sz val="11"/>
      <color theme="1"/>
      <name val="Calibri"/>
      <family val="2"/>
      <scheme val="minor"/>
    </font>
    <font>
      <sz val="9"/>
      <color theme="1"/>
      <name val="Calibri"/>
      <family val="2"/>
      <scheme val="minor"/>
    </font>
    <font>
      <i/>
      <sz val="9"/>
      <color rgb="FFFF0000"/>
      <name val="Calibri"/>
      <family val="2"/>
      <scheme val="minor"/>
    </font>
    <font>
      <sz val="9"/>
      <color rgb="FFFF0000"/>
      <name val="Calibri"/>
      <family val="2"/>
      <scheme val="minor"/>
    </font>
    <font>
      <sz val="14"/>
      <color theme="0"/>
      <name val="Calibri"/>
      <family val="2"/>
      <scheme val="minor"/>
    </font>
    <font>
      <b/>
      <sz val="9"/>
      <color rgb="FF000000"/>
      <name val="Arial"/>
      <family val="2"/>
    </font>
    <font>
      <u/>
      <sz val="11"/>
      <color theme="10"/>
      <name val="Calibri"/>
      <family val="2"/>
      <scheme val="minor"/>
    </font>
    <font>
      <sz val="10"/>
      <color theme="9" tint="-0.499984740745262"/>
      <name val="Calibri"/>
      <family val="2"/>
      <scheme val="minor"/>
    </font>
    <font>
      <sz val="10"/>
      <color theme="0"/>
      <name val="Calibri"/>
      <family val="2"/>
      <scheme val="minor"/>
    </font>
    <font>
      <b/>
      <sz val="11"/>
      <color theme="8" tint="-0.499984740745262"/>
      <name val="Calibri"/>
      <family val="2"/>
      <scheme val="minor"/>
    </font>
    <font>
      <i/>
      <sz val="12"/>
      <color theme="8" tint="-0.499984740745262"/>
      <name val="Calibri"/>
      <family val="2"/>
      <scheme val="minor"/>
    </font>
    <font>
      <b/>
      <sz val="14"/>
      <color theme="1"/>
      <name val="Calibri"/>
      <family val="2"/>
      <scheme val="minor"/>
    </font>
    <font>
      <sz val="11"/>
      <color theme="1" tint="0.34998626667073579"/>
      <name val="Calibri"/>
      <family val="2"/>
      <scheme val="minor"/>
    </font>
    <font>
      <b/>
      <sz val="10"/>
      <color theme="0"/>
      <name val="Calibri"/>
      <family val="2"/>
      <scheme val="minor"/>
    </font>
    <font>
      <b/>
      <sz val="11"/>
      <color theme="1" tint="0.34998626667073579"/>
      <name val="Calibri"/>
      <family val="2"/>
      <scheme val="minor"/>
    </font>
    <font>
      <sz val="12"/>
      <color theme="1" tint="0.34998626667073579"/>
      <name val="Calibri"/>
      <family val="2"/>
      <scheme val="minor"/>
    </font>
    <font>
      <b/>
      <sz val="12"/>
      <color theme="1" tint="0.34998626667073579"/>
      <name val="Calibri"/>
      <family val="2"/>
      <scheme val="minor"/>
    </font>
    <font>
      <b/>
      <sz val="11"/>
      <color theme="8"/>
      <name val="Calibri"/>
      <family val="2"/>
      <scheme val="minor"/>
    </font>
    <font>
      <sz val="11"/>
      <color theme="8"/>
      <name val="Calibri"/>
      <family val="2"/>
      <scheme val="minor"/>
    </font>
    <font>
      <sz val="9"/>
      <color indexed="81"/>
      <name val="Tahoma"/>
      <family val="2"/>
    </font>
    <font>
      <b/>
      <sz val="9"/>
      <color indexed="81"/>
      <name val="Tahoma"/>
      <family val="2"/>
    </font>
    <font>
      <b/>
      <sz val="12"/>
      <color rgb="FFFF0000"/>
      <name val="Calibri"/>
      <family val="2"/>
      <scheme val="minor"/>
    </font>
    <font>
      <sz val="10"/>
      <color theme="0" tint="-0.249977111117893"/>
      <name val="Calibri"/>
      <family val="2"/>
      <scheme val="minor"/>
    </font>
    <font>
      <sz val="12"/>
      <color rgb="FF000000"/>
      <name val="Times New Roman"/>
      <family val="1"/>
    </font>
    <font>
      <sz val="12"/>
      <color rgb="FF000000"/>
      <name val="Calibri"/>
      <family val="2"/>
      <scheme val="minor"/>
    </font>
    <font>
      <i/>
      <sz val="12"/>
      <color rgb="FF000000"/>
      <name val="Calibri"/>
      <family val="2"/>
      <scheme val="minor"/>
    </font>
    <font>
      <i/>
      <vertAlign val="subscript"/>
      <sz val="12"/>
      <color rgb="FF000000"/>
      <name val="Calibri"/>
      <family val="2"/>
      <scheme val="minor"/>
    </font>
    <font>
      <vertAlign val="subscript"/>
      <sz val="12"/>
      <color rgb="FF000000"/>
      <name val="Calibri"/>
      <family val="2"/>
      <scheme val="minor"/>
    </font>
    <font>
      <sz val="10"/>
      <name val="Calibri"/>
      <family val="2"/>
      <scheme val="minor"/>
    </font>
    <font>
      <sz val="10"/>
      <color indexed="81"/>
      <name val="Calibri"/>
      <family val="2"/>
    </font>
    <font>
      <b/>
      <sz val="10"/>
      <color indexed="81"/>
      <name val="Calibri"/>
      <family val="2"/>
    </font>
    <font>
      <u/>
      <sz val="11"/>
      <color theme="11"/>
      <name val="Calibri"/>
      <family val="2"/>
      <scheme val="minor"/>
    </font>
    <font>
      <b/>
      <sz val="12"/>
      <name val="Calibri"/>
      <family val="2"/>
      <scheme val="minor"/>
    </font>
    <font>
      <b/>
      <sz val="11"/>
      <color rgb="FF000000"/>
      <name val="Arial"/>
      <family val="2"/>
    </font>
    <font>
      <b/>
      <sz val="11"/>
      <color rgb="FFFFC000"/>
      <name val="Calibri"/>
      <family val="2"/>
      <scheme val="minor"/>
    </font>
    <font>
      <b/>
      <sz val="9"/>
      <name val="Calibri"/>
      <family val="2"/>
      <scheme val="minor"/>
    </font>
    <font>
      <sz val="11"/>
      <color rgb="FF00B050"/>
      <name val="Calibri"/>
      <family val="2"/>
      <scheme val="minor"/>
    </font>
  </fonts>
  <fills count="19">
    <fill>
      <patternFill patternType="none"/>
    </fill>
    <fill>
      <patternFill patternType="gray125"/>
    </fill>
    <fill>
      <patternFill patternType="solid">
        <fgColor rgb="FFFFCC99"/>
      </patternFill>
    </fill>
    <fill>
      <patternFill patternType="solid">
        <fgColor rgb="FFF2F2F2"/>
      </patternFill>
    </fill>
    <fill>
      <patternFill patternType="solid">
        <fgColor theme="4" tint="-0.249977111117893"/>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5" tint="0.39997558519241921"/>
        <bgColor indexed="64"/>
      </patternFill>
    </fill>
    <fill>
      <patternFill patternType="solid">
        <fgColor theme="7" tint="0.79998168889431442"/>
        <bgColor indexed="64"/>
      </patternFill>
    </fill>
    <fill>
      <patternFill patternType="solid">
        <fgColor theme="1"/>
        <bgColor indexed="64"/>
      </patternFill>
    </fill>
    <fill>
      <patternFill patternType="solid">
        <fgColor theme="9" tint="-0.499984740745262"/>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rgb="FFFFFF00"/>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rgb="FF99FF66"/>
        <bgColor indexed="64"/>
      </patternFill>
    </fill>
  </fills>
  <borders count="52">
    <border>
      <left/>
      <right/>
      <top/>
      <bottom/>
      <diagonal/>
    </border>
    <border>
      <left style="thin">
        <color rgb="FF7F7F7F"/>
      </left>
      <right style="thin">
        <color rgb="FF7F7F7F"/>
      </right>
      <top style="thin">
        <color rgb="FF7F7F7F"/>
      </top>
      <bottom style="thin">
        <color rgb="FF7F7F7F"/>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rgb="FF7F7F7F"/>
      </left>
      <right style="thin">
        <color rgb="FF7F7F7F"/>
      </right>
      <top/>
      <bottom style="thin">
        <color rgb="FF7F7F7F"/>
      </bottom>
      <diagonal/>
    </border>
    <border>
      <left/>
      <right/>
      <top style="thin">
        <color auto="1"/>
      </top>
      <bottom/>
      <diagonal/>
    </border>
    <border>
      <left style="thin">
        <color auto="1"/>
      </left>
      <right/>
      <top style="thin">
        <color auto="1"/>
      </top>
      <bottom/>
      <diagonal/>
    </border>
    <border>
      <left style="medium">
        <color auto="1"/>
      </left>
      <right/>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right style="hair">
        <color auto="1"/>
      </right>
      <top/>
      <bottom style="thin">
        <color auto="1"/>
      </bottom>
      <diagonal/>
    </border>
    <border>
      <left style="hair">
        <color auto="1"/>
      </left>
      <right style="thin">
        <color auto="1"/>
      </right>
      <top style="hair">
        <color auto="1"/>
      </top>
      <bottom/>
      <diagonal/>
    </border>
    <border>
      <left style="thin">
        <color rgb="FF7F7F7F"/>
      </left>
      <right/>
      <top style="thin">
        <color rgb="FF7F7F7F"/>
      </top>
      <bottom style="thin">
        <color auto="1"/>
      </bottom>
      <diagonal/>
    </border>
    <border>
      <left/>
      <right/>
      <top style="thin">
        <color rgb="FF7F7F7F"/>
      </top>
      <bottom style="thin">
        <color auto="1"/>
      </bottom>
      <diagonal/>
    </border>
    <border>
      <left/>
      <right style="thin">
        <color rgb="FF7F7F7F"/>
      </right>
      <top style="thin">
        <color rgb="FF7F7F7F"/>
      </top>
      <bottom style="thin">
        <color auto="1"/>
      </bottom>
      <diagonal/>
    </border>
    <border>
      <left/>
      <right style="thin">
        <color auto="1"/>
      </right>
      <top/>
      <bottom/>
      <diagonal/>
    </border>
    <border>
      <left/>
      <right/>
      <top/>
      <bottom style="hair">
        <color auto="1"/>
      </bottom>
      <diagonal/>
    </border>
    <border>
      <left/>
      <right style="hair">
        <color auto="1"/>
      </right>
      <top style="thin">
        <color auto="1"/>
      </top>
      <bottom style="hair">
        <color auto="1"/>
      </bottom>
      <diagonal/>
    </border>
    <border>
      <left/>
      <right style="thin">
        <color auto="1"/>
      </right>
      <top style="thin">
        <color auto="1"/>
      </top>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rgb="FF7F7F7F"/>
      </left>
      <right/>
      <top/>
      <bottom style="thin">
        <color rgb="FF7F7F7F"/>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2" borderId="1" applyNumberFormat="0" applyAlignment="0" applyProtection="0"/>
    <xf numFmtId="0" fontId="3" fillId="3" borderId="1" applyNumberFormat="0" applyAlignment="0" applyProtection="0"/>
    <xf numFmtId="0" fontId="6" fillId="0" borderId="0" applyNumberFormat="0" applyFill="0" applyBorder="0" applyAlignment="0" applyProtection="0"/>
    <xf numFmtId="0" fontId="35" fillId="0" borderId="0" applyNumberFormat="0" applyFill="0" applyBorder="0" applyAlignment="0" applyProtection="0"/>
    <xf numFmtId="0" fontId="17" fillId="0" borderId="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cellStyleXfs>
  <cellXfs count="433">
    <xf numFmtId="0" fontId="0" fillId="0" borderId="0" xfId="0"/>
    <xf numFmtId="0" fontId="9" fillId="4" borderId="0" xfId="0" applyFont="1" applyFill="1" applyAlignment="1">
      <alignment vertical="center"/>
    </xf>
    <xf numFmtId="0" fontId="8" fillId="4" borderId="0" xfId="0" applyFont="1" applyFill="1" applyAlignment="1">
      <alignment horizontal="left" vertical="center"/>
    </xf>
    <xf numFmtId="0" fontId="10" fillId="4" borderId="0" xfId="0" applyFont="1" applyFill="1" applyAlignment="1">
      <alignment vertical="center" wrapText="1"/>
    </xf>
    <xf numFmtId="0" fontId="10" fillId="4" borderId="0" xfId="0" applyFont="1" applyFill="1" applyAlignment="1">
      <alignment vertical="center"/>
    </xf>
    <xf numFmtId="0" fontId="10" fillId="4" borderId="0" xfId="0" applyFont="1" applyFill="1" applyAlignment="1">
      <alignment horizontal="right" vertical="center" wrapText="1"/>
    </xf>
    <xf numFmtId="0" fontId="11" fillId="0" borderId="0" xfId="0" applyFont="1" applyAlignment="1">
      <alignment vertical="top" wrapText="1"/>
    </xf>
    <xf numFmtId="0" fontId="13" fillId="0" borderId="2" xfId="0" applyFont="1" applyBorder="1"/>
    <xf numFmtId="0" fontId="0" fillId="0" borderId="0" xfId="0" applyAlignment="1">
      <alignment vertical="center"/>
    </xf>
    <xf numFmtId="0" fontId="7" fillId="0" borderId="2" xfId="0" applyFont="1" applyBorder="1" applyAlignment="1">
      <alignment vertical="center"/>
    </xf>
    <xf numFmtId="0" fontId="16" fillId="0" borderId="0" xfId="0" applyFont="1"/>
    <xf numFmtId="0" fontId="0" fillId="0" borderId="9" xfId="0" applyBorder="1"/>
    <xf numFmtId="165" fontId="3" fillId="3" borderId="1" xfId="4" applyNumberFormat="1" applyAlignment="1">
      <alignment horizontal="center"/>
    </xf>
    <xf numFmtId="43" fontId="3" fillId="3" borderId="1" xfId="1" applyFont="1" applyFill="1" applyBorder="1" applyAlignment="1">
      <alignment horizontal="center"/>
    </xf>
    <xf numFmtId="9" fontId="3" fillId="3" borderId="1" xfId="4" applyNumberFormat="1" applyAlignment="1">
      <alignment horizontal="center"/>
    </xf>
    <xf numFmtId="0" fontId="2" fillId="2" borderId="1" xfId="3" applyAlignment="1" applyProtection="1">
      <alignment horizontal="left" vertical="center" wrapText="1"/>
      <protection locked="0"/>
    </xf>
    <xf numFmtId="9" fontId="2" fillId="2" borderId="1" xfId="3" applyNumberFormat="1" applyAlignment="1">
      <alignment horizontal="center"/>
    </xf>
    <xf numFmtId="165" fontId="2" fillId="2" borderId="1" xfId="3" applyNumberFormat="1" applyAlignment="1">
      <alignment horizontal="center"/>
    </xf>
    <xf numFmtId="0" fontId="16" fillId="0" borderId="6" xfId="0" applyFont="1" applyBorder="1"/>
    <xf numFmtId="0" fontId="0" fillId="0" borderId="0" xfId="0" applyAlignment="1">
      <alignment horizontal="right"/>
    </xf>
    <xf numFmtId="165" fontId="0" fillId="0" borderId="0" xfId="2" applyNumberFormat="1" applyFont="1" applyAlignment="1">
      <alignment horizontal="center"/>
    </xf>
    <xf numFmtId="167" fontId="7" fillId="0" borderId="0" xfId="0" applyNumberFormat="1" applyFont="1"/>
    <xf numFmtId="0" fontId="8" fillId="4" borderId="0" xfId="0" applyFont="1" applyFill="1" applyAlignment="1">
      <alignment horizontal="center" vertical="center"/>
    </xf>
    <xf numFmtId="0" fontId="8" fillId="0" borderId="0" xfId="0" applyFont="1" applyAlignment="1">
      <alignment horizontal="center" vertical="center"/>
    </xf>
    <xf numFmtId="0" fontId="8" fillId="0" borderId="0" xfId="0" applyFont="1" applyAlignment="1">
      <alignment horizontal="left" vertical="center"/>
    </xf>
    <xf numFmtId="0" fontId="13" fillId="0" borderId="0" xfId="0" applyFont="1" applyAlignment="1">
      <alignment horizontal="left" vertical="center" wrapText="1" indent="1"/>
    </xf>
    <xf numFmtId="0" fontId="13" fillId="0" borderId="0" xfId="0" applyFont="1" applyAlignment="1">
      <alignment horizontal="center" vertical="center" wrapText="1"/>
    </xf>
    <xf numFmtId="0" fontId="8" fillId="0" borderId="6" xfId="0" applyFont="1" applyBorder="1" applyAlignment="1">
      <alignment horizontal="center" vertical="center"/>
    </xf>
    <xf numFmtId="0" fontId="8" fillId="0" borderId="6" xfId="0" applyFont="1" applyBorder="1" applyAlignment="1">
      <alignment horizontal="left" vertical="center"/>
    </xf>
    <xf numFmtId="0" fontId="10" fillId="0" borderId="0" xfId="0" applyFont="1" applyAlignment="1">
      <alignment horizontal="left" vertical="center" wrapText="1" indent="1"/>
    </xf>
    <xf numFmtId="0" fontId="0" fillId="0" borderId="0" xfId="0" applyAlignment="1">
      <alignment horizontal="center"/>
    </xf>
    <xf numFmtId="0" fontId="0" fillId="0" borderId="0" xfId="0" applyAlignment="1">
      <alignment horizontal="center" vertical="center"/>
    </xf>
    <xf numFmtId="0" fontId="21" fillId="0" borderId="0" xfId="0" applyFont="1" applyAlignment="1">
      <alignment horizontal="center" vertical="center"/>
    </xf>
    <xf numFmtId="0" fontId="18" fillId="0" borderId="2" xfId="0" applyFont="1" applyBorder="1"/>
    <xf numFmtId="167" fontId="18" fillId="0" borderId="5" xfId="1" applyNumberFormat="1" applyFont="1" applyBorder="1" applyAlignment="1">
      <alignment vertical="center" wrapText="1"/>
    </xf>
    <xf numFmtId="168" fontId="18" fillId="0" borderId="5" xfId="2" applyNumberFormat="1" applyFont="1" applyBorder="1" applyAlignment="1">
      <alignment vertical="center" wrapText="1"/>
    </xf>
    <xf numFmtId="43" fontId="18" fillId="0" borderId="5" xfId="1" applyFont="1" applyBorder="1" applyAlignment="1">
      <alignment vertical="center" wrapText="1"/>
    </xf>
    <xf numFmtId="165" fontId="18" fillId="0" borderId="5" xfId="2" applyNumberFormat="1" applyFont="1" applyBorder="1" applyAlignment="1">
      <alignment vertical="center" wrapText="1"/>
    </xf>
    <xf numFmtId="0" fontId="22" fillId="0" borderId="0" xfId="0" applyFont="1" applyAlignment="1">
      <alignment horizontal="left" vertical="center"/>
    </xf>
    <xf numFmtId="43" fontId="0" fillId="0" borderId="0" xfId="1" applyFont="1" applyAlignment="1">
      <alignment vertical="center"/>
    </xf>
    <xf numFmtId="0" fontId="23" fillId="0" borderId="5" xfId="0" applyFont="1" applyBorder="1" applyAlignment="1">
      <alignment horizontal="right"/>
    </xf>
    <xf numFmtId="167" fontId="23" fillId="0" borderId="5" xfId="0" applyNumberFormat="1" applyFont="1" applyBorder="1"/>
    <xf numFmtId="0" fontId="7" fillId="0" borderId="5" xfId="0" applyFont="1" applyBorder="1"/>
    <xf numFmtId="43" fontId="0" fillId="0" borderId="0" xfId="1" applyFont="1" applyAlignment="1">
      <alignment horizontal="left" vertical="center"/>
    </xf>
    <xf numFmtId="0" fontId="23" fillId="0" borderId="0" xfId="0" applyFont="1" applyAlignment="1">
      <alignment horizontal="right"/>
    </xf>
    <xf numFmtId="167" fontId="23" fillId="0" borderId="0" xfId="0" applyNumberFormat="1" applyFont="1"/>
    <xf numFmtId="0" fontId="7" fillId="0" borderId="0" xfId="0" applyFont="1"/>
    <xf numFmtId="43" fontId="13" fillId="0" borderId="0" xfId="0" applyNumberFormat="1" applyFont="1" applyAlignment="1">
      <alignment horizontal="right"/>
    </xf>
    <xf numFmtId="0" fontId="0" fillId="0" borderId="0" xfId="0" applyAlignment="1">
      <alignment horizontal="right" vertical="center"/>
    </xf>
    <xf numFmtId="0" fontId="7" fillId="0" borderId="0" xfId="0" applyFont="1" applyAlignment="1">
      <alignment horizontal="left" vertical="center"/>
    </xf>
    <xf numFmtId="0" fontId="27" fillId="5" borderId="5" xfId="0" applyFont="1" applyFill="1" applyBorder="1" applyAlignment="1">
      <alignment horizontal="left" vertical="center"/>
    </xf>
    <xf numFmtId="0" fontId="26" fillId="0" borderId="0" xfId="0" applyFont="1" applyAlignment="1">
      <alignment horizontal="left" vertical="center"/>
    </xf>
    <xf numFmtId="165" fontId="26" fillId="0" borderId="0" xfId="0" applyNumberFormat="1" applyFont="1" applyAlignment="1">
      <alignment horizontal="center" vertical="center"/>
    </xf>
    <xf numFmtId="0" fontId="18" fillId="0" borderId="0" xfId="0" applyFont="1" applyAlignment="1">
      <alignment horizontal="center" vertical="center" wrapText="1"/>
    </xf>
    <xf numFmtId="167" fontId="28" fillId="0" borderId="0" xfId="0" applyNumberFormat="1" applyFont="1" applyAlignment="1">
      <alignment horizontal="center" vertical="center" wrapText="1"/>
    </xf>
    <xf numFmtId="0" fontId="18" fillId="6" borderId="7" xfId="0" applyFont="1" applyFill="1" applyBorder="1" applyAlignment="1">
      <alignment horizontal="center" vertical="center" wrapText="1"/>
    </xf>
    <xf numFmtId="0" fontId="8" fillId="6" borderId="6" xfId="0" applyFont="1" applyFill="1" applyBorder="1" applyAlignment="1">
      <alignment horizontal="left" vertical="center"/>
    </xf>
    <xf numFmtId="0" fontId="7" fillId="6" borderId="6" xfId="0" applyFont="1" applyFill="1" applyBorder="1" applyAlignment="1">
      <alignment horizontal="left" vertical="center"/>
    </xf>
    <xf numFmtId="0" fontId="18" fillId="6" borderId="6" xfId="0" applyFont="1" applyFill="1" applyBorder="1" applyAlignment="1">
      <alignment horizontal="center" vertical="center" wrapText="1"/>
    </xf>
    <xf numFmtId="43" fontId="28" fillId="6" borderId="8" xfId="1" applyFont="1" applyFill="1" applyBorder="1" applyAlignment="1">
      <alignment vertical="center" wrapText="1"/>
    </xf>
    <xf numFmtId="0" fontId="4" fillId="4" borderId="0" xfId="0" applyFont="1" applyFill="1" applyAlignment="1">
      <alignment vertical="center"/>
    </xf>
    <xf numFmtId="0" fontId="0" fillId="0" borderId="0" xfId="0" applyAlignment="1">
      <alignment vertical="top" wrapText="1"/>
    </xf>
    <xf numFmtId="0" fontId="0" fillId="0" borderId="0" xfId="0" applyAlignment="1">
      <alignment horizontal="left" indent="1"/>
    </xf>
    <xf numFmtId="0" fontId="18" fillId="0" borderId="0" xfId="0" applyFont="1"/>
    <xf numFmtId="0" fontId="18" fillId="0" borderId="0" xfId="0" applyFont="1" applyAlignment="1">
      <alignment horizontal="center"/>
    </xf>
    <xf numFmtId="0" fontId="30" fillId="0" borderId="0" xfId="1" applyNumberFormat="1" applyFont="1" applyAlignment="1">
      <alignment horizontal="center"/>
    </xf>
    <xf numFmtId="0" fontId="31" fillId="0" borderId="0" xfId="1" applyNumberFormat="1" applyFont="1" applyAlignment="1">
      <alignment horizontal="center"/>
    </xf>
    <xf numFmtId="0" fontId="30" fillId="0" borderId="5" xfId="0" applyFont="1" applyBorder="1" applyAlignment="1">
      <alignment horizontal="center"/>
    </xf>
    <xf numFmtId="0" fontId="31" fillId="0" borderId="0" xfId="0" applyFont="1" applyAlignment="1">
      <alignment horizontal="center"/>
    </xf>
    <xf numFmtId="0" fontId="30" fillId="0" borderId="0" xfId="0" applyFont="1" applyAlignment="1">
      <alignment horizontal="center"/>
    </xf>
    <xf numFmtId="0" fontId="18" fillId="0" borderId="5" xfId="1" applyNumberFormat="1" applyFont="1" applyBorder="1" applyAlignment="1">
      <alignment horizontal="center"/>
    </xf>
    <xf numFmtId="0" fontId="30" fillId="0" borderId="5" xfId="1" applyNumberFormat="1" applyFont="1" applyBorder="1" applyAlignment="1">
      <alignment horizontal="center"/>
    </xf>
    <xf numFmtId="0" fontId="32" fillId="0" borderId="0" xfId="0" applyFont="1" applyAlignment="1">
      <alignment horizontal="center"/>
    </xf>
    <xf numFmtId="170" fontId="0" fillId="0" borderId="0" xfId="0" applyNumberFormat="1"/>
    <xf numFmtId="0" fontId="9" fillId="4" borderId="0" xfId="0" applyFont="1" applyFill="1"/>
    <xf numFmtId="0" fontId="33" fillId="4" borderId="0" xfId="0" applyFont="1" applyFill="1"/>
    <xf numFmtId="0" fontId="7" fillId="0" borderId="0" xfId="0" applyFont="1" applyAlignment="1">
      <alignment horizontal="center"/>
    </xf>
    <xf numFmtId="0" fontId="2" fillId="9" borderId="1" xfId="3" applyFill="1"/>
    <xf numFmtId="0" fontId="2" fillId="2" borderId="1" xfId="3"/>
    <xf numFmtId="0" fontId="2" fillId="9" borderId="1" xfId="3" applyFill="1" applyAlignment="1">
      <alignment horizontal="center"/>
    </xf>
    <xf numFmtId="170" fontId="2" fillId="9" borderId="1" xfId="3" applyNumberFormat="1" applyFill="1" applyProtection="1">
      <protection locked="0"/>
    </xf>
    <xf numFmtId="0" fontId="34" fillId="0" borderId="0" xfId="0" applyFont="1" applyAlignment="1">
      <alignment vertical="center" wrapText="1"/>
    </xf>
    <xf numFmtId="2" fontId="0" fillId="0" borderId="0" xfId="0" applyNumberFormat="1" applyAlignment="1">
      <alignment horizontal="center"/>
    </xf>
    <xf numFmtId="0" fontId="35" fillId="0" borderId="0" xfId="6"/>
    <xf numFmtId="0" fontId="36" fillId="10" borderId="0" xfId="0" applyFont="1" applyFill="1" applyAlignment="1">
      <alignment horizontal="center" vertical="center"/>
    </xf>
    <xf numFmtId="0" fontId="37" fillId="5" borderId="0" xfId="0" applyFont="1" applyFill="1" applyAlignment="1">
      <alignment horizontal="center" vertical="center"/>
    </xf>
    <xf numFmtId="0" fontId="18" fillId="5" borderId="5" xfId="0" applyFont="1" applyFill="1" applyBorder="1" applyAlignment="1">
      <alignment horizontal="center"/>
    </xf>
    <xf numFmtId="0" fontId="0" fillId="5" borderId="5" xfId="0" applyFill="1" applyBorder="1" applyAlignment="1">
      <alignment horizontal="center"/>
    </xf>
    <xf numFmtId="167" fontId="0" fillId="5" borderId="5" xfId="0" applyNumberFormat="1" applyFill="1" applyBorder="1"/>
    <xf numFmtId="0" fontId="18" fillId="5" borderId="14" xfId="0" applyFont="1" applyFill="1" applyBorder="1" applyAlignment="1">
      <alignment horizontal="center" wrapText="1"/>
    </xf>
    <xf numFmtId="0" fontId="0" fillId="5" borderId="2" xfId="0" applyFill="1" applyBorder="1" applyAlignment="1">
      <alignment vertical="center" wrapText="1"/>
    </xf>
    <xf numFmtId="0" fontId="0" fillId="5" borderId="5" xfId="0" applyFill="1" applyBorder="1" applyAlignment="1">
      <alignment horizontal="center" vertical="center" wrapText="1"/>
    </xf>
    <xf numFmtId="0" fontId="0" fillId="0" borderId="0" xfId="0" applyAlignment="1">
      <alignment wrapText="1"/>
    </xf>
    <xf numFmtId="0" fontId="18" fillId="5" borderId="15" xfId="0" applyFont="1" applyFill="1" applyBorder="1" applyAlignment="1">
      <alignment horizontal="center"/>
    </xf>
    <xf numFmtId="0" fontId="2" fillId="2" borderId="1" xfId="3" applyAlignment="1">
      <alignment horizontal="left"/>
    </xf>
    <xf numFmtId="167" fontId="2" fillId="2" borderId="1" xfId="3" applyNumberFormat="1"/>
    <xf numFmtId="167" fontId="0" fillId="5" borderId="5" xfId="1" applyNumberFormat="1" applyFont="1" applyFill="1" applyBorder="1"/>
    <xf numFmtId="167" fontId="0" fillId="0" borderId="0" xfId="0" applyNumberFormat="1"/>
    <xf numFmtId="166" fontId="0" fillId="0" borderId="0" xfId="0" applyNumberFormat="1"/>
    <xf numFmtId="166" fontId="0" fillId="0" borderId="0" xfId="1" applyNumberFormat="1" applyFont="1"/>
    <xf numFmtId="166" fontId="2" fillId="2" borderId="1" xfId="1" applyNumberFormat="1" applyFont="1" applyFill="1" applyBorder="1"/>
    <xf numFmtId="167" fontId="2" fillId="2" borderId="1" xfId="1" applyNumberFormat="1" applyFont="1" applyFill="1" applyBorder="1"/>
    <xf numFmtId="0" fontId="0" fillId="5" borderId="3" xfId="0" applyFill="1" applyBorder="1"/>
    <xf numFmtId="0" fontId="0" fillId="5" borderId="5" xfId="0" applyFill="1" applyBorder="1"/>
    <xf numFmtId="167" fontId="0" fillId="0" borderId="0" xfId="1" applyNumberFormat="1" applyFont="1"/>
    <xf numFmtId="0" fontId="36" fillId="11" borderId="0" xfId="0" applyFont="1" applyFill="1" applyAlignment="1">
      <alignment horizontal="center" vertical="center"/>
    </xf>
    <xf numFmtId="0" fontId="37" fillId="12" borderId="0" xfId="0" applyFont="1" applyFill="1" applyAlignment="1">
      <alignment horizontal="center" vertical="center"/>
    </xf>
    <xf numFmtId="0" fontId="18" fillId="12" borderId="5" xfId="0" applyFont="1" applyFill="1" applyBorder="1" applyAlignment="1">
      <alignment horizontal="center"/>
    </xf>
    <xf numFmtId="0" fontId="0" fillId="12" borderId="5" xfId="0" applyFill="1" applyBorder="1" applyAlignment="1">
      <alignment horizontal="center"/>
    </xf>
    <xf numFmtId="167" fontId="0" fillId="12" borderId="5" xfId="0" applyNumberFormat="1" applyFill="1" applyBorder="1"/>
    <xf numFmtId="0" fontId="18" fillId="12" borderId="14" xfId="0" applyFont="1" applyFill="1" applyBorder="1" applyAlignment="1">
      <alignment horizontal="center" wrapText="1"/>
    </xf>
    <xf numFmtId="0" fontId="0" fillId="12" borderId="2" xfId="0" applyFill="1" applyBorder="1" applyAlignment="1">
      <alignment vertical="center" wrapText="1"/>
    </xf>
    <xf numFmtId="0" fontId="0" fillId="12" borderId="3" xfId="0" applyFill="1" applyBorder="1" applyAlignment="1">
      <alignment horizontal="right" vertical="center" wrapText="1"/>
    </xf>
    <xf numFmtId="0" fontId="0" fillId="12" borderId="3" xfId="0" applyFill="1" applyBorder="1" applyAlignment="1">
      <alignment horizontal="right" vertical="center"/>
    </xf>
    <xf numFmtId="0" fontId="0" fillId="12" borderId="5" xfId="0" applyFill="1" applyBorder="1" applyAlignment="1">
      <alignment horizontal="center" vertical="center" wrapText="1"/>
    </xf>
    <xf numFmtId="0" fontId="18" fillId="12" borderId="15" xfId="0" applyFont="1" applyFill="1" applyBorder="1" applyAlignment="1">
      <alignment horizontal="center"/>
    </xf>
    <xf numFmtId="166" fontId="0" fillId="12" borderId="15" xfId="0" applyNumberFormat="1" applyFill="1" applyBorder="1"/>
    <xf numFmtId="43" fontId="0" fillId="0" borderId="0" xfId="0" applyNumberFormat="1"/>
    <xf numFmtId="166" fontId="2" fillId="2" borderId="1" xfId="3" applyNumberFormat="1"/>
    <xf numFmtId="0" fontId="0" fillId="12" borderId="2" xfId="0" applyFill="1" applyBorder="1"/>
    <xf numFmtId="0" fontId="0" fillId="12" borderId="3" xfId="0" applyFill="1" applyBorder="1"/>
    <xf numFmtId="0" fontId="0" fillId="12" borderId="4" xfId="0" applyFill="1" applyBorder="1"/>
    <xf numFmtId="0" fontId="18" fillId="12" borderId="16" xfId="0" applyFont="1" applyFill="1" applyBorder="1" applyAlignment="1">
      <alignment horizontal="center"/>
    </xf>
    <xf numFmtId="1" fontId="36" fillId="11" borderId="0" xfId="0" applyNumberFormat="1" applyFont="1" applyFill="1" applyAlignment="1">
      <alignment horizontal="center" vertical="center"/>
    </xf>
    <xf numFmtId="167" fontId="0" fillId="9" borderId="0" xfId="1" applyNumberFormat="1" applyFont="1" applyFill="1"/>
    <xf numFmtId="167" fontId="41" fillId="0" borderId="0" xfId="1" applyNumberFormat="1" applyFont="1"/>
    <xf numFmtId="43" fontId="0" fillId="0" borderId="0" xfId="1" applyFont="1"/>
    <xf numFmtId="1" fontId="42" fillId="9" borderId="0" xfId="0" applyNumberFormat="1" applyFont="1" applyFill="1" applyAlignment="1">
      <alignment horizontal="center" vertical="center"/>
    </xf>
    <xf numFmtId="43" fontId="41" fillId="0" borderId="0" xfId="1" applyFont="1"/>
    <xf numFmtId="0" fontId="7" fillId="9" borderId="12" xfId="0" applyFont="1" applyFill="1" applyBorder="1" applyAlignment="1">
      <alignment horizontal="center"/>
    </xf>
    <xf numFmtId="167" fontId="7" fillId="9" borderId="18" xfId="1" applyNumberFormat="1" applyFont="1" applyFill="1" applyBorder="1"/>
    <xf numFmtId="167" fontId="7" fillId="9" borderId="19" xfId="1" applyNumberFormat="1" applyFont="1" applyFill="1" applyBorder="1"/>
    <xf numFmtId="167" fontId="7" fillId="9" borderId="20" xfId="1" applyNumberFormat="1" applyFont="1" applyFill="1" applyBorder="1"/>
    <xf numFmtId="167" fontId="13" fillId="9" borderId="21" xfId="1" applyNumberFormat="1" applyFont="1" applyFill="1" applyBorder="1"/>
    <xf numFmtId="0" fontId="43" fillId="0" borderId="0" xfId="0" applyFont="1"/>
    <xf numFmtId="1" fontId="10" fillId="9" borderId="0" xfId="0" applyNumberFormat="1" applyFont="1" applyFill="1" applyAlignment="1">
      <alignment horizontal="center" vertical="center"/>
    </xf>
    <xf numFmtId="0" fontId="13" fillId="9" borderId="21" xfId="0" applyFont="1" applyFill="1" applyBorder="1"/>
    <xf numFmtId="0" fontId="13" fillId="0" borderId="0" xfId="0" applyFont="1"/>
    <xf numFmtId="0" fontId="45" fillId="0" borderId="0" xfId="0" applyFont="1"/>
    <xf numFmtId="1" fontId="18" fillId="9" borderId="12" xfId="0" applyNumberFormat="1" applyFont="1" applyFill="1" applyBorder="1" applyAlignment="1">
      <alignment horizontal="center" wrapText="1"/>
    </xf>
    <xf numFmtId="167" fontId="7" fillId="9" borderId="23" xfId="1" applyNumberFormat="1" applyFont="1" applyFill="1" applyBorder="1" applyAlignment="1">
      <alignment horizontal="left"/>
    </xf>
    <xf numFmtId="167" fontId="0" fillId="9" borderId="18" xfId="1" applyNumberFormat="1" applyFont="1" applyFill="1" applyBorder="1" applyAlignment="1">
      <alignment horizontal="center" vertical="center"/>
    </xf>
    <xf numFmtId="167" fontId="0" fillId="9" borderId="19" xfId="1" applyNumberFormat="1" applyFont="1" applyFill="1" applyBorder="1" applyAlignment="1">
      <alignment horizontal="center" vertical="center"/>
    </xf>
    <xf numFmtId="167" fontId="0" fillId="9" borderId="20" xfId="1" applyNumberFormat="1" applyFont="1" applyFill="1" applyBorder="1" applyAlignment="1">
      <alignment horizontal="center" vertical="center"/>
    </xf>
    <xf numFmtId="167" fontId="0" fillId="9" borderId="13" xfId="1" applyNumberFormat="1" applyFont="1" applyFill="1" applyBorder="1" applyAlignment="1">
      <alignment horizontal="center" vertical="center"/>
    </xf>
    <xf numFmtId="167" fontId="0" fillId="9" borderId="17" xfId="1" applyNumberFormat="1" applyFont="1" applyFill="1" applyBorder="1" applyAlignment="1">
      <alignment horizontal="center" vertical="center"/>
    </xf>
    <xf numFmtId="167" fontId="0" fillId="9" borderId="24" xfId="1" applyNumberFormat="1" applyFont="1" applyFill="1" applyBorder="1" applyAlignment="1">
      <alignment horizontal="center" vertical="center"/>
    </xf>
    <xf numFmtId="167" fontId="0" fillId="0" borderId="0" xfId="1" applyNumberFormat="1" applyFont="1" applyAlignment="1">
      <alignment horizontal="center"/>
    </xf>
    <xf numFmtId="167" fontId="41" fillId="0" borderId="0" xfId="1" applyNumberFormat="1" applyFont="1" applyAlignment="1">
      <alignment horizontal="center"/>
    </xf>
    <xf numFmtId="1" fontId="18" fillId="9" borderId="15" xfId="1" applyNumberFormat="1" applyFont="1" applyFill="1" applyBorder="1" applyAlignment="1">
      <alignment horizontal="center"/>
    </xf>
    <xf numFmtId="43" fontId="0" fillId="9" borderId="22" xfId="1" applyFont="1" applyFill="1" applyBorder="1"/>
    <xf numFmtId="43" fontId="3" fillId="3" borderId="1" xfId="1" applyFont="1" applyFill="1" applyBorder="1"/>
    <xf numFmtId="43" fontId="2" fillId="2" borderId="1" xfId="1" applyFont="1" applyFill="1" applyBorder="1"/>
    <xf numFmtId="43" fontId="2" fillId="2" borderId="1" xfId="1" applyFont="1" applyFill="1" applyBorder="1" applyAlignment="1">
      <alignment horizontal="center"/>
    </xf>
    <xf numFmtId="1" fontId="18" fillId="9" borderId="15" xfId="0" applyNumberFormat="1" applyFont="1" applyFill="1" applyBorder="1" applyAlignment="1">
      <alignment horizontal="center"/>
    </xf>
    <xf numFmtId="1" fontId="18" fillId="9" borderId="5" xfId="0" applyNumberFormat="1" applyFont="1" applyFill="1" applyBorder="1" applyAlignment="1">
      <alignment horizontal="center"/>
    </xf>
    <xf numFmtId="0" fontId="18" fillId="9" borderId="5" xfId="0" applyFont="1" applyFill="1" applyBorder="1" applyAlignment="1">
      <alignment horizontal="center"/>
    </xf>
    <xf numFmtId="0" fontId="18" fillId="9" borderId="16" xfId="0" applyFont="1" applyFill="1" applyBorder="1" applyAlignment="1">
      <alignment horizontal="center"/>
    </xf>
    <xf numFmtId="0" fontId="18" fillId="9" borderId="7" xfId="0" applyFont="1" applyFill="1" applyBorder="1" applyAlignment="1">
      <alignment horizontal="center"/>
    </xf>
    <xf numFmtId="167" fontId="0" fillId="9" borderId="23" xfId="1" applyNumberFormat="1" applyFont="1" applyFill="1" applyBorder="1"/>
    <xf numFmtId="0" fontId="41" fillId="0" borderId="0" xfId="0" applyFont="1"/>
    <xf numFmtId="1" fontId="0" fillId="0" borderId="0" xfId="0" applyNumberFormat="1"/>
    <xf numFmtId="0" fontId="0" fillId="9" borderId="0" xfId="0" applyFill="1"/>
    <xf numFmtId="0" fontId="46" fillId="0" borderId="0" xfId="0" applyFont="1"/>
    <xf numFmtId="0" fontId="46" fillId="0" borderId="0" xfId="0" applyFont="1" applyAlignment="1">
      <alignment horizontal="center"/>
    </xf>
    <xf numFmtId="0" fontId="47" fillId="0" borderId="0" xfId="0" applyFont="1" applyAlignment="1">
      <alignment horizontal="center" vertical="top" wrapText="1"/>
    </xf>
    <xf numFmtId="0" fontId="47" fillId="0" borderId="0" xfId="0" applyFont="1" applyAlignment="1">
      <alignment horizontal="center"/>
    </xf>
    <xf numFmtId="0" fontId="47" fillId="0" borderId="0" xfId="0" applyFont="1" applyAlignment="1">
      <alignment horizontal="center" vertical="center"/>
    </xf>
    <xf numFmtId="0" fontId="3" fillId="3" borderId="1" xfId="4"/>
    <xf numFmtId="0" fontId="6" fillId="0" borderId="0" xfId="5"/>
    <xf numFmtId="0" fontId="8" fillId="13" borderId="0" xfId="0" applyFont="1" applyFill="1" applyAlignment="1">
      <alignment horizontal="left" vertical="center"/>
    </xf>
    <xf numFmtId="0" fontId="0" fillId="13" borderId="0" xfId="0" applyFill="1" applyAlignment="1">
      <alignment vertical="center"/>
    </xf>
    <xf numFmtId="0" fontId="7" fillId="0" borderId="0" xfId="0" applyFont="1" applyAlignment="1">
      <alignment horizontal="center" vertical="center"/>
    </xf>
    <xf numFmtId="0" fontId="18" fillId="0" borderId="7" xfId="0" applyFont="1" applyBorder="1"/>
    <xf numFmtId="0" fontId="10" fillId="0" borderId="25" xfId="0" applyFont="1" applyBorder="1" applyAlignment="1">
      <alignment horizontal="left" vertical="center" wrapText="1" indent="1"/>
    </xf>
    <xf numFmtId="165" fontId="18" fillId="0" borderId="16" xfId="2" applyNumberFormat="1" applyFont="1" applyBorder="1" applyAlignment="1">
      <alignment vertical="center" wrapText="1"/>
    </xf>
    <xf numFmtId="0" fontId="25" fillId="0" borderId="7" xfId="0" applyFont="1" applyBorder="1"/>
    <xf numFmtId="0" fontId="25" fillId="0" borderId="2" xfId="0" applyFont="1" applyBorder="1"/>
    <xf numFmtId="9" fontId="0" fillId="0" borderId="0" xfId="2" applyFont="1"/>
    <xf numFmtId="0" fontId="0" fillId="5" borderId="4" xfId="0" applyFill="1" applyBorder="1" applyAlignment="1">
      <alignment horizontal="center" vertical="center"/>
    </xf>
    <xf numFmtId="0" fontId="0" fillId="5" borderId="3" xfId="0" applyFill="1" applyBorder="1" applyAlignment="1">
      <alignment horizontal="center" vertical="center" wrapText="1"/>
    </xf>
    <xf numFmtId="0" fontId="7" fillId="12" borderId="5" xfId="0" applyFont="1" applyFill="1" applyBorder="1" applyAlignment="1">
      <alignment horizontal="center" vertical="center" wrapText="1"/>
    </xf>
    <xf numFmtId="0" fontId="14" fillId="0" borderId="5" xfId="0" applyFont="1" applyBorder="1" applyAlignment="1">
      <alignment horizontal="center" vertical="center"/>
    </xf>
    <xf numFmtId="43" fontId="14" fillId="0" borderId="5" xfId="1" applyFont="1" applyBorder="1" applyAlignment="1">
      <alignment horizontal="center" vertical="center" wrapText="1"/>
    </xf>
    <xf numFmtId="0" fontId="18" fillId="0" borderId="0" xfId="1" applyNumberFormat="1" applyFont="1" applyAlignment="1">
      <alignment horizontal="center"/>
    </xf>
    <xf numFmtId="0" fontId="0" fillId="12" borderId="8" xfId="0" applyFill="1" applyBorder="1"/>
    <xf numFmtId="0" fontId="22" fillId="0" borderId="0" xfId="0" applyFont="1" applyAlignment="1">
      <alignment horizontal="center"/>
    </xf>
    <xf numFmtId="0" fontId="51" fillId="0" borderId="0" xfId="0" applyFont="1"/>
    <xf numFmtId="0" fontId="0" fillId="12" borderId="3" xfId="0" applyFill="1" applyBorder="1" applyAlignment="1">
      <alignment horizontal="center" vertical="center"/>
    </xf>
    <xf numFmtId="167" fontId="13" fillId="0" borderId="5" xfId="1" applyNumberFormat="1" applyFont="1" applyBorder="1"/>
    <xf numFmtId="0" fontId="7" fillId="0" borderId="25" xfId="0" applyFont="1" applyBorder="1" applyAlignment="1">
      <alignment vertical="center" wrapText="1"/>
    </xf>
    <xf numFmtId="165" fontId="13" fillId="0" borderId="3" xfId="2" applyNumberFormat="1" applyFont="1" applyBorder="1" applyAlignment="1">
      <alignment horizontal="center" vertical="center"/>
    </xf>
    <xf numFmtId="0" fontId="0" fillId="0" borderId="25" xfId="0" applyBorder="1" applyAlignment="1">
      <alignment horizontal="center"/>
    </xf>
    <xf numFmtId="9" fontId="18" fillId="0" borderId="5" xfId="2" applyFont="1" applyBorder="1"/>
    <xf numFmtId="43" fontId="23" fillId="0" borderId="5" xfId="2" applyNumberFormat="1" applyFont="1" applyBorder="1"/>
    <xf numFmtId="43" fontId="18" fillId="0" borderId="5" xfId="2" applyNumberFormat="1" applyFont="1" applyBorder="1"/>
    <xf numFmtId="9" fontId="7" fillId="0" borderId="5" xfId="2" applyFont="1" applyBorder="1"/>
    <xf numFmtId="43" fontId="23" fillId="0" borderId="5" xfId="1" applyFont="1" applyBorder="1"/>
    <xf numFmtId="9" fontId="18" fillId="8" borderId="5" xfId="2" applyFont="1" applyFill="1" applyBorder="1"/>
    <xf numFmtId="0" fontId="7" fillId="8" borderId="5" xfId="0" applyFont="1" applyFill="1" applyBorder="1"/>
    <xf numFmtId="0" fontId="0" fillId="8" borderId="5" xfId="0" applyFill="1" applyBorder="1"/>
    <xf numFmtId="0" fontId="7" fillId="8" borderId="5" xfId="0" applyFont="1" applyFill="1" applyBorder="1" applyAlignment="1">
      <alignment horizontal="left"/>
    </xf>
    <xf numFmtId="9" fontId="23" fillId="8" borderId="5" xfId="2" applyFont="1" applyFill="1" applyBorder="1"/>
    <xf numFmtId="165" fontId="26" fillId="0" borderId="5" xfId="2" applyNumberFormat="1" applyFont="1" applyBorder="1" applyAlignment="1">
      <alignment horizontal="center" vertical="center"/>
    </xf>
    <xf numFmtId="0" fontId="26" fillId="6" borderId="5" xfId="0" applyFont="1" applyFill="1" applyBorder="1" applyAlignment="1">
      <alignment horizontal="left" vertical="center"/>
    </xf>
    <xf numFmtId="43" fontId="28" fillId="0" borderId="5" xfId="1" applyFont="1" applyBorder="1" applyAlignment="1">
      <alignment vertical="center" wrapText="1"/>
    </xf>
    <xf numFmtId="0" fontId="0" fillId="6" borderId="5" xfId="0" applyFill="1" applyBorder="1"/>
    <xf numFmtId="165" fontId="26" fillId="0" borderId="5" xfId="2" applyNumberFormat="1" applyFont="1" applyBorder="1" applyAlignment="1">
      <alignment horizontal="right" vertical="center"/>
    </xf>
    <xf numFmtId="0" fontId="26" fillId="7" borderId="5" xfId="0" applyFont="1" applyFill="1" applyBorder="1" applyAlignment="1">
      <alignment horizontal="left" vertical="center"/>
    </xf>
    <xf numFmtId="0" fontId="26" fillId="0" borderId="5" xfId="0" applyFont="1" applyBorder="1" applyAlignment="1">
      <alignment horizontal="left" vertical="center"/>
    </xf>
    <xf numFmtId="0" fontId="8" fillId="0" borderId="5" xfId="0" applyFont="1" applyBorder="1" applyAlignment="1">
      <alignment horizontal="left" vertical="center"/>
    </xf>
    <xf numFmtId="165" fontId="7" fillId="0" borderId="5" xfId="2" applyNumberFormat="1" applyFont="1" applyBorder="1" applyAlignment="1">
      <alignment horizontal="right"/>
    </xf>
    <xf numFmtId="43" fontId="13" fillId="0" borderId="5" xfId="1" applyFont="1" applyBorder="1" applyAlignment="1">
      <alignment horizontal="right"/>
    </xf>
    <xf numFmtId="0" fontId="19" fillId="6" borderId="5" xfId="0" applyFont="1" applyFill="1" applyBorder="1" applyAlignment="1">
      <alignment horizontal="center" vertical="center"/>
    </xf>
    <xf numFmtId="0" fontId="19" fillId="7" borderId="5" xfId="0" applyFont="1" applyFill="1" applyBorder="1" applyAlignment="1">
      <alignment horizontal="center" vertical="center"/>
    </xf>
    <xf numFmtId="0" fontId="19" fillId="0" borderId="5" xfId="0" applyFont="1" applyBorder="1" applyAlignment="1">
      <alignment horizontal="center" vertical="center"/>
    </xf>
    <xf numFmtId="0" fontId="8" fillId="0" borderId="5" xfId="0" applyFont="1" applyBorder="1" applyAlignment="1">
      <alignment vertical="center"/>
    </xf>
    <xf numFmtId="165" fontId="13" fillId="0" borderId="4" xfId="2" applyNumberFormat="1" applyFont="1" applyBorder="1" applyAlignment="1">
      <alignment horizontal="center" vertical="center"/>
    </xf>
    <xf numFmtId="0" fontId="24" fillId="0" borderId="32" xfId="0" applyFont="1" applyBorder="1" applyAlignment="1">
      <alignment horizontal="center"/>
    </xf>
    <xf numFmtId="0" fontId="52" fillId="0" borderId="0" xfId="0" applyFont="1" applyAlignment="1">
      <alignment horizontal="justify" vertical="center"/>
    </xf>
    <xf numFmtId="0" fontId="0" fillId="0" borderId="0" xfId="0" applyAlignment="1">
      <alignment horizontal="center" vertical="top"/>
    </xf>
    <xf numFmtId="0" fontId="19" fillId="0" borderId="0" xfId="0" applyFont="1" applyAlignment="1">
      <alignment horizontal="left" vertical="center"/>
    </xf>
    <xf numFmtId="0" fontId="0" fillId="13" borderId="0" xfId="0" applyFill="1"/>
    <xf numFmtId="167" fontId="0" fillId="0" borderId="5" xfId="1" applyNumberFormat="1" applyFont="1" applyBorder="1"/>
    <xf numFmtId="167" fontId="0" fillId="0" borderId="0" xfId="1" applyNumberFormat="1" applyFont="1" applyAlignment="1"/>
    <xf numFmtId="43" fontId="0" fillId="0" borderId="0" xfId="1" applyFont="1" applyAlignment="1">
      <alignment horizontal="center"/>
    </xf>
    <xf numFmtId="0" fontId="18" fillId="0" borderId="27" xfId="0" applyFont="1" applyBorder="1" applyAlignment="1">
      <alignment horizontal="center" vertical="center" wrapText="1"/>
    </xf>
    <xf numFmtId="167" fontId="23" fillId="0" borderId="16" xfId="0" applyNumberFormat="1" applyFont="1" applyBorder="1"/>
    <xf numFmtId="0" fontId="19" fillId="0" borderId="2" xfId="0" applyFont="1" applyBorder="1" applyAlignment="1">
      <alignment horizontal="center" vertical="center"/>
    </xf>
    <xf numFmtId="165" fontId="0" fillId="0" borderId="14" xfId="2" applyNumberFormat="1" applyFont="1" applyBorder="1" applyAlignment="1">
      <alignment horizontal="right"/>
    </xf>
    <xf numFmtId="0" fontId="19" fillId="0" borderId="5" xfId="0" applyFont="1" applyBorder="1" applyAlignment="1">
      <alignment vertical="center"/>
    </xf>
    <xf numFmtId="0" fontId="0" fillId="0" borderId="5" xfId="0" applyBorder="1" applyAlignment="1">
      <alignment horizontal="left" vertical="center"/>
    </xf>
    <xf numFmtId="169" fontId="19" fillId="0" borderId="5" xfId="0" applyNumberFormat="1" applyFont="1" applyBorder="1" applyAlignment="1">
      <alignment horizontal="center" vertical="center"/>
    </xf>
    <xf numFmtId="43" fontId="0" fillId="0" borderId="5" xfId="1" applyFont="1" applyBorder="1" applyAlignment="1">
      <alignment vertical="center"/>
    </xf>
    <xf numFmtId="0" fontId="0" fillId="0" borderId="2" xfId="0" applyBorder="1" applyAlignment="1">
      <alignment horizontal="center" vertical="center"/>
    </xf>
    <xf numFmtId="43" fontId="0" fillId="0" borderId="2" xfId="1" applyFont="1" applyBorder="1" applyAlignment="1">
      <alignment vertical="center"/>
    </xf>
    <xf numFmtId="43" fontId="0" fillId="0" borderId="16" xfId="1" applyFont="1" applyBorder="1" applyAlignment="1">
      <alignment vertical="center"/>
    </xf>
    <xf numFmtId="0" fontId="24" fillId="0" borderId="45" xfId="0" applyFont="1" applyBorder="1" applyAlignment="1">
      <alignment horizontal="center"/>
    </xf>
    <xf numFmtId="43" fontId="24" fillId="0" borderId="46" xfId="1" applyFont="1" applyBorder="1" applyAlignment="1">
      <alignment horizontal="center" vertical="center"/>
    </xf>
    <xf numFmtId="43" fontId="24" fillId="0" borderId="47" xfId="1" applyFont="1" applyBorder="1" applyAlignment="1">
      <alignment horizontal="center" vertical="center"/>
    </xf>
    <xf numFmtId="166" fontId="3" fillId="3" borderId="1" xfId="1" applyNumberFormat="1" applyFont="1" applyFill="1" applyBorder="1" applyAlignment="1">
      <alignment horizontal="center"/>
    </xf>
    <xf numFmtId="1" fontId="3" fillId="0" borderId="10" xfId="2" applyNumberFormat="1" applyFont="1" applyFill="1" applyBorder="1" applyAlignment="1">
      <alignment horizontal="center"/>
    </xf>
    <xf numFmtId="0" fontId="7" fillId="12" borderId="2" xfId="0" applyFont="1" applyFill="1" applyBorder="1" applyAlignment="1">
      <alignment horizontal="center" vertical="center" wrapText="1"/>
    </xf>
    <xf numFmtId="1" fontId="7" fillId="3" borderId="14" xfId="2" applyNumberFormat="1" applyFont="1" applyFill="1" applyBorder="1" applyAlignment="1">
      <alignment horizontal="center"/>
    </xf>
    <xf numFmtId="1" fontId="18" fillId="0" borderId="7" xfId="0" applyNumberFormat="1" applyFont="1" applyBorder="1" applyAlignment="1">
      <alignment horizontal="center"/>
    </xf>
    <xf numFmtId="1" fontId="18" fillId="0" borderId="2" xfId="0" applyNumberFormat="1" applyFont="1" applyBorder="1" applyAlignment="1">
      <alignment horizontal="center"/>
    </xf>
    <xf numFmtId="1" fontId="23" fillId="0" borderId="5" xfId="0" applyNumberFormat="1" applyFont="1" applyBorder="1" applyAlignment="1">
      <alignment horizontal="center"/>
    </xf>
    <xf numFmtId="43" fontId="18" fillId="0" borderId="5" xfId="1" applyFont="1" applyFill="1" applyBorder="1" applyAlignment="1">
      <alignment vertical="center" wrapText="1"/>
    </xf>
    <xf numFmtId="167" fontId="23" fillId="5" borderId="5" xfId="1" applyNumberFormat="1" applyFont="1" applyFill="1" applyBorder="1" applyAlignment="1">
      <alignment vertical="center" wrapText="1"/>
    </xf>
    <xf numFmtId="43" fontId="23" fillId="5" borderId="5" xfId="1" applyFont="1" applyFill="1" applyBorder="1" applyAlignment="1">
      <alignment vertical="center" wrapText="1"/>
    </xf>
    <xf numFmtId="167" fontId="18" fillId="5" borderId="5" xfId="1" applyNumberFormat="1" applyFont="1" applyFill="1" applyBorder="1" applyAlignment="1">
      <alignment vertical="center" wrapText="1"/>
    </xf>
    <xf numFmtId="43" fontId="3" fillId="0" borderId="0" xfId="1" applyFont="1" applyFill="1" applyBorder="1" applyAlignment="1">
      <alignment horizontal="center"/>
    </xf>
    <xf numFmtId="43" fontId="20" fillId="0" borderId="5" xfId="1" applyFont="1" applyFill="1" applyBorder="1" applyAlignment="1">
      <alignment vertical="center"/>
    </xf>
    <xf numFmtId="43" fontId="0" fillId="0" borderId="5" xfId="1" applyFont="1" applyFill="1" applyBorder="1" applyAlignment="1">
      <alignment vertical="center"/>
    </xf>
    <xf numFmtId="0" fontId="0" fillId="0" borderId="5" xfId="0" applyBorder="1" applyAlignment="1">
      <alignment horizontal="center" vertical="center"/>
    </xf>
    <xf numFmtId="0" fontId="18" fillId="0" borderId="5" xfId="0" applyFont="1" applyBorder="1"/>
    <xf numFmtId="167" fontId="18" fillId="0" borderId="5" xfId="1" applyNumberFormat="1" applyFont="1" applyFill="1" applyBorder="1" applyAlignment="1">
      <alignment vertical="center" wrapText="1"/>
    </xf>
    <xf numFmtId="0" fontId="7" fillId="0" borderId="5" xfId="0" applyFont="1" applyBorder="1" applyAlignment="1">
      <alignment horizontal="left" vertical="center" wrapText="1" indent="1"/>
    </xf>
    <xf numFmtId="0" fontId="10" fillId="0" borderId="5" xfId="0" applyFont="1" applyBorder="1" applyAlignment="1">
      <alignment horizontal="left" vertical="center" wrapText="1" indent="1"/>
    </xf>
    <xf numFmtId="0" fontId="18" fillId="0" borderId="5" xfId="0" applyFont="1" applyBorder="1" applyAlignment="1">
      <alignment horizontal="center" vertical="center" wrapText="1"/>
    </xf>
    <xf numFmtId="2" fontId="5" fillId="0" borderId="25" xfId="0" applyNumberFormat="1" applyFont="1" applyBorder="1" applyAlignment="1">
      <alignment horizontal="right"/>
    </xf>
    <xf numFmtId="2" fontId="5" fillId="5" borderId="31" xfId="0" applyNumberFormat="1" applyFont="1" applyFill="1" applyBorder="1" applyAlignment="1">
      <alignment horizontal="right"/>
    </xf>
    <xf numFmtId="2" fontId="5" fillId="5" borderId="35" xfId="0" applyNumberFormat="1" applyFont="1" applyFill="1" applyBorder="1" applyAlignment="1">
      <alignment horizontal="right"/>
    </xf>
    <xf numFmtId="2" fontId="5" fillId="0" borderId="25" xfId="0" applyNumberFormat="1" applyFont="1" applyBorder="1" applyAlignment="1">
      <alignment horizontal="right" vertical="center"/>
    </xf>
    <xf numFmtId="2" fontId="5" fillId="5" borderId="31" xfId="0" applyNumberFormat="1" applyFont="1" applyFill="1" applyBorder="1" applyAlignment="1">
      <alignment horizontal="right" vertical="center"/>
    </xf>
    <xf numFmtId="2" fontId="5" fillId="0" borderId="35" xfId="0" applyNumberFormat="1" applyFont="1" applyBorder="1" applyAlignment="1">
      <alignment horizontal="right"/>
    </xf>
    <xf numFmtId="167" fontId="18" fillId="15" borderId="5" xfId="1" applyNumberFormat="1" applyFont="1" applyFill="1" applyBorder="1" applyAlignment="1">
      <alignment vertical="center" wrapText="1"/>
    </xf>
    <xf numFmtId="43" fontId="61" fillId="0" borderId="5" xfId="1" applyFont="1" applyFill="1" applyBorder="1" applyAlignment="1">
      <alignment horizontal="right"/>
    </xf>
    <xf numFmtId="0" fontId="18" fillId="0" borderId="25" xfId="0" applyFont="1" applyBorder="1" applyAlignment="1">
      <alignment horizontal="center" vertical="center" wrapText="1"/>
    </xf>
    <xf numFmtId="167" fontId="18" fillId="0" borderId="7" xfId="1" applyNumberFormat="1" applyFont="1" applyFill="1" applyBorder="1" applyAlignment="1">
      <alignment vertical="center" wrapText="1"/>
    </xf>
    <xf numFmtId="167" fontId="18" fillId="0" borderId="2" xfId="1" applyNumberFormat="1" applyFont="1" applyFill="1" applyBorder="1" applyAlignment="1">
      <alignment vertical="center" wrapText="1"/>
    </xf>
    <xf numFmtId="0" fontId="19" fillId="0" borderId="0" xfId="0" applyFont="1"/>
    <xf numFmtId="0" fontId="20" fillId="0" borderId="5" xfId="0" applyFont="1" applyBorder="1" applyAlignment="1">
      <alignment horizontal="center" vertical="center"/>
    </xf>
    <xf numFmtId="2" fontId="5" fillId="0" borderId="29" xfId="0" applyNumberFormat="1" applyFont="1" applyBorder="1" applyAlignment="1">
      <alignment horizontal="right"/>
    </xf>
    <xf numFmtId="2" fontId="5" fillId="0" borderId="28" xfId="1" applyNumberFormat="1" applyFont="1" applyBorder="1" applyAlignment="1">
      <alignment horizontal="right" vertical="center"/>
    </xf>
    <xf numFmtId="2" fontId="5" fillId="5" borderId="30" xfId="1" applyNumberFormat="1" applyFont="1" applyFill="1" applyBorder="1" applyAlignment="1">
      <alignment horizontal="right" vertical="center"/>
    </xf>
    <xf numFmtId="2" fontId="5" fillId="0" borderId="28" xfId="0" applyNumberFormat="1" applyFont="1" applyBorder="1" applyAlignment="1">
      <alignment horizontal="right"/>
    </xf>
    <xf numFmtId="2" fontId="5" fillId="5" borderId="30" xfId="0" applyNumberFormat="1" applyFont="1" applyFill="1" applyBorder="1" applyAlignment="1">
      <alignment horizontal="right"/>
    </xf>
    <xf numFmtId="2" fontId="5" fillId="0" borderId="35" xfId="0" applyNumberFormat="1" applyFont="1" applyBorder="1" applyAlignment="1">
      <alignment horizontal="right" vertical="center"/>
    </xf>
    <xf numFmtId="2" fontId="5" fillId="0" borderId="49" xfId="0" applyNumberFormat="1" applyFont="1" applyBorder="1" applyAlignment="1">
      <alignment horizontal="right"/>
    </xf>
    <xf numFmtId="2" fontId="5" fillId="0" borderId="50" xfId="0" applyNumberFormat="1" applyFont="1" applyBorder="1" applyAlignment="1">
      <alignment horizontal="right" vertical="center"/>
    </xf>
    <xf numFmtId="2" fontId="5" fillId="5" borderId="51" xfId="0" applyNumberFormat="1" applyFont="1" applyFill="1" applyBorder="1" applyAlignment="1">
      <alignment horizontal="right" vertical="center"/>
    </xf>
    <xf numFmtId="2" fontId="5" fillId="0" borderId="50" xfId="0" applyNumberFormat="1" applyFont="1" applyBorder="1" applyAlignment="1">
      <alignment horizontal="right"/>
    </xf>
    <xf numFmtId="2" fontId="5" fillId="5" borderId="51" xfId="0" applyNumberFormat="1" applyFont="1" applyFill="1" applyBorder="1" applyAlignment="1">
      <alignment horizontal="right"/>
    </xf>
    <xf numFmtId="0" fontId="26" fillId="0" borderId="12" xfId="0" applyFont="1" applyBorder="1" applyAlignment="1">
      <alignment horizontal="left" vertical="center"/>
    </xf>
    <xf numFmtId="0" fontId="19" fillId="0" borderId="9" xfId="0" applyFont="1" applyBorder="1" applyAlignment="1">
      <alignment horizontal="left" vertical="center"/>
    </xf>
    <xf numFmtId="0" fontId="7" fillId="0" borderId="26" xfId="0" applyFont="1" applyBorder="1" applyAlignment="1">
      <alignment horizontal="center" wrapText="1"/>
    </xf>
    <xf numFmtId="0" fontId="7" fillId="0" borderId="27" xfId="0" applyFont="1" applyBorder="1" applyAlignment="1">
      <alignment horizontal="center" wrapText="1"/>
    </xf>
    <xf numFmtId="0" fontId="7" fillId="0" borderId="37" xfId="0" applyFont="1" applyBorder="1" applyAlignment="1">
      <alignment horizontal="center" wrapText="1"/>
    </xf>
    <xf numFmtId="3" fontId="19" fillId="0" borderId="5" xfId="0" applyNumberFormat="1" applyFont="1" applyBorder="1" applyAlignment="1">
      <alignment horizontal="center"/>
    </xf>
    <xf numFmtId="3" fontId="57" fillId="0" borderId="5" xfId="1" applyNumberFormat="1" applyFont="1" applyFill="1" applyBorder="1" applyAlignment="1">
      <alignment horizontal="center" vertical="center" wrapText="1"/>
    </xf>
    <xf numFmtId="3" fontId="19" fillId="0" borderId="5" xfId="0" applyNumberFormat="1" applyFont="1" applyBorder="1" applyAlignment="1">
      <alignment horizontal="center" vertical="center"/>
    </xf>
    <xf numFmtId="0" fontId="18" fillId="0" borderId="14" xfId="0" applyFont="1" applyBorder="1"/>
    <xf numFmtId="3" fontId="57" fillId="0" borderId="14" xfId="1" applyNumberFormat="1" applyFont="1" applyFill="1" applyBorder="1" applyAlignment="1">
      <alignment horizontal="center" vertical="center" wrapText="1"/>
    </xf>
    <xf numFmtId="0" fontId="18" fillId="0" borderId="12" xfId="0" applyFont="1" applyBorder="1"/>
    <xf numFmtId="3" fontId="0" fillId="0" borderId="11" xfId="0" applyNumberFormat="1" applyBorder="1" applyAlignment="1">
      <alignment horizontal="center"/>
    </xf>
    <xf numFmtId="3" fontId="0" fillId="0" borderId="44" xfId="0" applyNumberFormat="1" applyBorder="1" applyAlignment="1">
      <alignment horizontal="center"/>
    </xf>
    <xf numFmtId="0" fontId="18" fillId="0" borderId="9" xfId="0" applyFont="1" applyBorder="1"/>
    <xf numFmtId="3" fontId="0" fillId="0" borderId="0" xfId="0" applyNumberFormat="1" applyAlignment="1">
      <alignment horizontal="center"/>
    </xf>
    <xf numFmtId="3" fontId="0" fillId="0" borderId="41" xfId="0" applyNumberFormat="1" applyBorder="1" applyAlignment="1">
      <alignment horizontal="center"/>
    </xf>
    <xf numFmtId="171" fontId="0" fillId="0" borderId="0" xfId="0" applyNumberFormat="1" applyAlignment="1">
      <alignment horizontal="center"/>
    </xf>
    <xf numFmtId="171" fontId="0" fillId="0" borderId="41" xfId="0" applyNumberFormat="1" applyBorder="1" applyAlignment="1">
      <alignment horizontal="center"/>
    </xf>
    <xf numFmtId="0" fontId="8" fillId="0" borderId="9" xfId="0" applyFont="1" applyBorder="1" applyAlignment="1">
      <alignment horizontal="left" vertical="center"/>
    </xf>
    <xf numFmtId="0" fontId="8" fillId="0" borderId="41" xfId="0" applyFont="1" applyBorder="1" applyAlignment="1">
      <alignment horizontal="left" vertical="center"/>
    </xf>
    <xf numFmtId="0" fontId="18" fillId="0" borderId="9" xfId="0" applyFont="1" applyBorder="1" applyAlignment="1">
      <alignment horizontal="left" vertical="center"/>
    </xf>
    <xf numFmtId="3" fontId="18" fillId="0" borderId="0" xfId="0" applyNumberFormat="1" applyFont="1" applyAlignment="1">
      <alignment horizontal="center"/>
    </xf>
    <xf numFmtId="3" fontId="18" fillId="0" borderId="41" xfId="0" applyNumberFormat="1" applyFont="1" applyBorder="1" applyAlignment="1">
      <alignment horizontal="center"/>
    </xf>
    <xf numFmtId="0" fontId="18" fillId="0" borderId="7" xfId="0" applyFont="1" applyBorder="1" applyAlignment="1">
      <alignment horizontal="left" vertical="center"/>
    </xf>
    <xf numFmtId="169" fontId="18" fillId="0" borderId="6" xfId="0" applyNumberFormat="1" applyFont="1" applyBorder="1" applyAlignment="1">
      <alignment horizontal="center" vertical="center"/>
    </xf>
    <xf numFmtId="169" fontId="18" fillId="0" borderId="8" xfId="0" applyNumberFormat="1" applyFont="1" applyBorder="1" applyAlignment="1">
      <alignment horizontal="center" vertical="center"/>
    </xf>
    <xf numFmtId="2" fontId="0" fillId="0" borderId="5" xfId="0" applyNumberFormat="1" applyBorder="1" applyAlignment="1">
      <alignment horizontal="center"/>
    </xf>
    <xf numFmtId="0" fontId="3" fillId="0" borderId="1" xfId="4" applyFill="1" applyAlignment="1">
      <alignment horizontal="center"/>
    </xf>
    <xf numFmtId="3" fontId="3" fillId="0" borderId="10" xfId="2" applyNumberFormat="1" applyFont="1" applyFill="1" applyBorder="1" applyAlignment="1">
      <alignment horizontal="center"/>
    </xf>
    <xf numFmtId="3" fontId="3" fillId="0" borderId="48" xfId="2" applyNumberFormat="1" applyFont="1" applyFill="1" applyBorder="1" applyAlignment="1">
      <alignment horizontal="center"/>
    </xf>
    <xf numFmtId="0" fontId="62" fillId="0" borderId="0" xfId="0" applyFont="1"/>
    <xf numFmtId="167" fontId="18" fillId="0" borderId="5" xfId="1" applyNumberFormat="1" applyFont="1" applyBorder="1" applyAlignment="1">
      <alignment horizontal="center" vertical="center" wrapText="1"/>
    </xf>
    <xf numFmtId="167" fontId="23" fillId="0" borderId="5" xfId="0" applyNumberFormat="1" applyFont="1" applyBorder="1" applyAlignment="1">
      <alignment horizontal="center"/>
    </xf>
    <xf numFmtId="0" fontId="63" fillId="0" borderId="25" xfId="0" applyFont="1" applyBorder="1" applyAlignment="1">
      <alignment vertical="center" wrapText="1"/>
    </xf>
    <xf numFmtId="3" fontId="0" fillId="0" borderId="0" xfId="0" applyNumberFormat="1"/>
    <xf numFmtId="43" fontId="2" fillId="2" borderId="1" xfId="1" applyFont="1" applyFill="1" applyBorder="1" applyAlignment="1">
      <alignment horizontal="left"/>
    </xf>
    <xf numFmtId="0" fontId="19" fillId="16" borderId="5" xfId="0" applyFont="1" applyFill="1" applyBorder="1"/>
    <xf numFmtId="0" fontId="64" fillId="16" borderId="5" xfId="0" applyFont="1" applyFill="1" applyBorder="1" applyAlignment="1">
      <alignment horizontal="left" vertical="center" wrapText="1"/>
    </xf>
    <xf numFmtId="167" fontId="19" fillId="16" borderId="5" xfId="0" applyNumberFormat="1" applyFont="1" applyFill="1" applyBorder="1" applyAlignment="1">
      <alignment horizontal="left" vertical="center"/>
    </xf>
    <xf numFmtId="167" fontId="19" fillId="16" borderId="5" xfId="0" applyNumberFormat="1" applyFont="1" applyFill="1" applyBorder="1" applyAlignment="1">
      <alignment horizontal="center" vertical="center"/>
    </xf>
    <xf numFmtId="2" fontId="0" fillId="14" borderId="5" xfId="0" applyNumberFormat="1" applyFill="1" applyBorder="1" applyAlignment="1">
      <alignment horizontal="center"/>
    </xf>
    <xf numFmtId="0" fontId="0" fillId="14" borderId="0" xfId="0" applyFill="1"/>
    <xf numFmtId="0" fontId="0" fillId="0" borderId="0" xfId="0" applyAlignment="1">
      <alignment horizontal="left" vertical="top" wrapText="1"/>
    </xf>
    <xf numFmtId="0" fontId="7" fillId="0" borderId="0" xfId="0" applyFont="1" applyAlignment="1">
      <alignment horizontal="left" vertical="top" wrapText="1"/>
    </xf>
    <xf numFmtId="0" fontId="11" fillId="0" borderId="0" xfId="0" applyFont="1" applyAlignment="1">
      <alignment horizontal="left" vertical="top" wrapText="1"/>
    </xf>
    <xf numFmtId="0" fontId="15" fillId="0" borderId="5" xfId="0" applyFont="1" applyBorder="1" applyAlignment="1">
      <alignment horizontal="center" vertical="center" wrapText="1"/>
    </xf>
    <xf numFmtId="0" fontId="0" fillId="0" borderId="0" xfId="0" applyAlignment="1">
      <alignment horizontal="left" vertical="center"/>
    </xf>
    <xf numFmtId="0" fontId="7" fillId="0" borderId="5" xfId="0" applyFont="1" applyBorder="1" applyAlignment="1">
      <alignment horizontal="center" vertical="center"/>
    </xf>
    <xf numFmtId="0" fontId="7" fillId="0" borderId="25" xfId="0" applyFont="1" applyBorder="1" applyAlignment="1">
      <alignment horizontal="center" vertical="center" wrapText="1"/>
    </xf>
    <xf numFmtId="0" fontId="0" fillId="8" borderId="5" xfId="0" applyFill="1" applyBorder="1" applyAlignment="1">
      <alignment horizontal="left"/>
    </xf>
    <xf numFmtId="0" fontId="0" fillId="0" borderId="5" xfId="0" applyBorder="1" applyAlignment="1">
      <alignment horizontal="center"/>
    </xf>
    <xf numFmtId="0" fontId="16" fillId="17" borderId="0" xfId="0" applyFont="1" applyFill="1"/>
    <xf numFmtId="0" fontId="0" fillId="17" borderId="9" xfId="0" applyFill="1" applyBorder="1"/>
    <xf numFmtId="165" fontId="3" fillId="17" borderId="1" xfId="4" applyNumberFormat="1" applyFill="1" applyAlignment="1">
      <alignment horizontal="center"/>
    </xf>
    <xf numFmtId="166" fontId="3" fillId="17" borderId="1" xfId="1" applyNumberFormat="1" applyFont="1" applyFill="1" applyBorder="1" applyAlignment="1">
      <alignment horizontal="center"/>
    </xf>
    <xf numFmtId="43" fontId="3" fillId="17" borderId="1" xfId="1" applyFont="1" applyFill="1" applyBorder="1" applyAlignment="1">
      <alignment horizontal="center"/>
    </xf>
    <xf numFmtId="9" fontId="3" fillId="17" borderId="1" xfId="4" applyNumberFormat="1" applyFill="1" applyAlignment="1">
      <alignment horizontal="center"/>
    </xf>
    <xf numFmtId="0" fontId="2" fillId="17" borderId="1" xfId="3" applyFill="1" applyAlignment="1" applyProtection="1">
      <alignment horizontal="left" vertical="center" wrapText="1"/>
      <protection locked="0"/>
    </xf>
    <xf numFmtId="9" fontId="2" fillId="17" borderId="1" xfId="3" applyNumberFormat="1" applyFill="1" applyAlignment="1">
      <alignment horizontal="center"/>
    </xf>
    <xf numFmtId="3" fontId="3" fillId="17" borderId="10" xfId="2" applyNumberFormat="1" applyFont="1" applyFill="1" applyBorder="1" applyAlignment="1">
      <alignment horizontal="center"/>
    </xf>
    <xf numFmtId="1" fontId="3" fillId="17" borderId="10" xfId="2" applyNumberFormat="1" applyFont="1" applyFill="1" applyBorder="1" applyAlignment="1">
      <alignment horizontal="center"/>
    </xf>
    <xf numFmtId="3" fontId="3" fillId="17" borderId="48" xfId="2" applyNumberFormat="1" applyFont="1" applyFill="1" applyBorder="1" applyAlignment="1">
      <alignment horizontal="center"/>
    </xf>
    <xf numFmtId="0" fontId="0" fillId="17" borderId="0" xfId="0" applyFill="1"/>
    <xf numFmtId="167" fontId="0" fillId="17" borderId="5" xfId="1" applyNumberFormat="1" applyFont="1" applyFill="1" applyBorder="1"/>
    <xf numFmtId="11" fontId="2" fillId="2" borderId="1" xfId="1" applyNumberFormat="1" applyFont="1" applyFill="1" applyBorder="1"/>
    <xf numFmtId="43" fontId="13" fillId="0" borderId="3" xfId="0" applyNumberFormat="1" applyFont="1" applyBorder="1" applyAlignment="1">
      <alignment horizontal="center" vertical="center"/>
    </xf>
    <xf numFmtId="0" fontId="29"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xf>
    <xf numFmtId="0" fontId="0" fillId="0" borderId="0" xfId="0" applyAlignment="1">
      <alignment horizontal="left" vertical="center" wrapText="1"/>
    </xf>
    <xf numFmtId="0" fontId="7" fillId="0" borderId="0" xfId="0" applyFont="1" applyAlignment="1">
      <alignment horizontal="left" vertical="top" wrapText="1"/>
    </xf>
    <xf numFmtId="164" fontId="50" fillId="4" borderId="0" xfId="0" applyNumberFormat="1" applyFont="1" applyFill="1" applyAlignment="1">
      <alignment horizontal="left" vertical="center" wrapText="1"/>
    </xf>
    <xf numFmtId="0" fontId="11" fillId="0" borderId="0" xfId="0" applyFont="1" applyAlignment="1">
      <alignment horizontal="left" vertical="top"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 xfId="0" applyFont="1" applyBorder="1" applyAlignment="1">
      <alignment horizontal="center"/>
    </xf>
    <xf numFmtId="9" fontId="2" fillId="2" borderId="38" xfId="3" applyNumberFormat="1" applyBorder="1" applyAlignment="1">
      <alignment horizontal="center"/>
    </xf>
    <xf numFmtId="9" fontId="2" fillId="2" borderId="39" xfId="3" applyNumberFormat="1" applyBorder="1" applyAlignment="1">
      <alignment horizontal="center"/>
    </xf>
    <xf numFmtId="9" fontId="2" fillId="2" borderId="40" xfId="3" applyNumberFormat="1" applyBorder="1" applyAlignment="1">
      <alignment horizontal="center"/>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33" xfId="0" applyBorder="1" applyAlignment="1">
      <alignment horizontal="center"/>
    </xf>
    <xf numFmtId="0" fontId="0" fillId="0" borderId="34" xfId="0" applyBorder="1" applyAlignment="1">
      <alignment horizontal="center"/>
    </xf>
    <xf numFmtId="0" fontId="14"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5" xfId="0" applyFont="1" applyBorder="1" applyAlignment="1">
      <alignment horizontal="center"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10" fillId="4" borderId="0" xfId="0" applyFont="1" applyFill="1" applyAlignment="1">
      <alignment horizontal="left" vertical="center" wrapText="1" indent="1"/>
    </xf>
    <xf numFmtId="0" fontId="17" fillId="0" borderId="0" xfId="0" applyFont="1" applyAlignment="1">
      <alignment horizontal="left" vertical="center" wrapText="1"/>
    </xf>
    <xf numFmtId="0" fontId="0" fillId="0" borderId="0" xfId="0" applyAlignment="1">
      <alignment horizontal="left" vertical="center"/>
    </xf>
    <xf numFmtId="0" fontId="7" fillId="0" borderId="5" xfId="0" applyFont="1" applyBorder="1" applyAlignment="1">
      <alignment horizontal="center" vertical="center"/>
    </xf>
    <xf numFmtId="0" fontId="7" fillId="0" borderId="25" xfId="0" applyFont="1" applyBorder="1" applyAlignment="1">
      <alignment horizontal="center" vertical="center" wrapText="1"/>
    </xf>
    <xf numFmtId="165" fontId="7" fillId="0" borderId="5" xfId="2" applyNumberFormat="1" applyFont="1" applyBorder="1" applyAlignment="1">
      <alignment horizontal="left"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44" xfId="0" applyBorder="1" applyAlignment="1">
      <alignment horizontal="center" vertical="center"/>
    </xf>
    <xf numFmtId="0" fontId="7" fillId="0" borderId="43" xfId="0" applyFont="1" applyBorder="1" applyAlignment="1">
      <alignment horizontal="center" wrapText="1"/>
    </xf>
    <xf numFmtId="0" fontId="7" fillId="0" borderId="28" xfId="0" applyFont="1" applyBorder="1" applyAlignment="1">
      <alignment horizontal="center" wrapText="1"/>
    </xf>
    <xf numFmtId="0" fontId="7" fillId="0" borderId="30" xfId="0" applyFont="1" applyBorder="1" applyAlignment="1">
      <alignment horizontal="center" wrapText="1"/>
    </xf>
    <xf numFmtId="0" fontId="0" fillId="0" borderId="0" xfId="0" applyAlignment="1">
      <alignment horizontal="center"/>
    </xf>
    <xf numFmtId="0" fontId="0" fillId="0" borderId="6" xfId="0" applyBorder="1" applyAlignment="1">
      <alignment horizontal="center"/>
    </xf>
    <xf numFmtId="0" fontId="7" fillId="0" borderId="42" xfId="0" applyFont="1" applyBorder="1" applyAlignment="1">
      <alignment horizontal="center" vertical="center" wrapText="1"/>
    </xf>
    <xf numFmtId="0" fontId="0" fillId="6" borderId="5" xfId="0" applyFill="1" applyBorder="1" applyAlignment="1">
      <alignment horizontal="center"/>
    </xf>
    <xf numFmtId="0" fontId="26" fillId="7" borderId="5" xfId="0" applyFont="1" applyFill="1" applyBorder="1" applyAlignment="1">
      <alignment horizontal="center" vertical="center"/>
    </xf>
    <xf numFmtId="0" fontId="19" fillId="0" borderId="5" xfId="0" applyFont="1" applyBorder="1" applyAlignment="1">
      <alignment horizontal="left" vertical="center"/>
    </xf>
    <xf numFmtId="0" fontId="26" fillId="0" borderId="11" xfId="0" applyFont="1"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19" fillId="8" borderId="5" xfId="0" applyFont="1" applyFill="1" applyBorder="1" applyAlignment="1">
      <alignment horizontal="right" vertical="center" wrapText="1"/>
    </xf>
    <xf numFmtId="0" fontId="0" fillId="8" borderId="5" xfId="0" applyFill="1" applyBorder="1" applyAlignment="1">
      <alignment horizontal="left"/>
    </xf>
    <xf numFmtId="165" fontId="26" fillId="6" borderId="5" xfId="2" applyNumberFormat="1" applyFont="1" applyFill="1" applyBorder="1" applyAlignment="1">
      <alignment horizontal="left" vertical="center"/>
    </xf>
    <xf numFmtId="0" fontId="7" fillId="6" borderId="5" xfId="0" applyFont="1" applyFill="1" applyBorder="1" applyAlignment="1">
      <alignment horizontal="right" vertical="center"/>
    </xf>
    <xf numFmtId="0" fontId="0" fillId="8" borderId="5" xfId="0" applyFill="1" applyBorder="1" applyAlignment="1">
      <alignment horizontal="right" vertical="center" indent="1"/>
    </xf>
    <xf numFmtId="0" fontId="7" fillId="8" borderId="5" xfId="0" applyFont="1" applyFill="1" applyBorder="1" applyAlignment="1">
      <alignment horizontal="right" vertical="center" indent="1"/>
    </xf>
    <xf numFmtId="0" fontId="0" fillId="0" borderId="5" xfId="0" applyBorder="1" applyAlignment="1">
      <alignment horizontal="center"/>
    </xf>
    <xf numFmtId="0" fontId="53" fillId="0" borderId="0" xfId="0" applyFont="1" applyAlignment="1">
      <alignment horizontal="left" vertical="center" wrapText="1"/>
    </xf>
    <xf numFmtId="0" fontId="6" fillId="0" borderId="0" xfId="5" applyAlignment="1">
      <alignment horizontal="left"/>
    </xf>
    <xf numFmtId="0" fontId="29" fillId="0" borderId="0" xfId="0" applyFont="1" applyAlignment="1">
      <alignment horizontal="center" vertical="center"/>
    </xf>
    <xf numFmtId="0" fontId="0" fillId="0" borderId="0" xfId="0" applyAlignment="1">
      <alignment horizontal="center" wrapText="1"/>
    </xf>
    <xf numFmtId="0" fontId="0" fillId="0" borderId="0" xfId="0" applyAlignment="1">
      <alignment horizontal="left" vertical="top"/>
    </xf>
    <xf numFmtId="0" fontId="7" fillId="5" borderId="0" xfId="0" applyFont="1" applyFill="1" applyAlignment="1">
      <alignment horizontal="center" vertical="center"/>
    </xf>
    <xf numFmtId="0" fontId="11" fillId="5" borderId="6" xfId="0" applyFont="1" applyFill="1" applyBorder="1" applyAlignment="1">
      <alignment horizontal="center" vertical="center" wrapText="1"/>
    </xf>
    <xf numFmtId="0" fontId="0" fillId="0" borderId="0" xfId="0" applyAlignment="1">
      <alignment horizontal="left" wrapText="1"/>
    </xf>
    <xf numFmtId="0" fontId="0" fillId="14" borderId="0" xfId="0" applyFill="1" applyAlignment="1">
      <alignment horizontal="left" vertical="center"/>
    </xf>
    <xf numFmtId="0" fontId="38" fillId="12" borderId="0" xfId="0" applyFont="1" applyFill="1" applyAlignment="1">
      <alignment horizontal="center" vertical="center"/>
    </xf>
    <xf numFmtId="0" fontId="39" fillId="12" borderId="6" xfId="0" applyFont="1" applyFill="1" applyBorder="1" applyAlignment="1">
      <alignment horizontal="center" vertical="center" wrapText="1"/>
    </xf>
    <xf numFmtId="43" fontId="41" fillId="0" borderId="0" xfId="1" applyFont="1" applyAlignment="1">
      <alignment horizontal="center" vertical="center" wrapText="1"/>
    </xf>
    <xf numFmtId="43" fontId="41" fillId="0" borderId="0" xfId="1" applyFont="1" applyAlignment="1">
      <alignment horizontal="center" vertical="center"/>
    </xf>
    <xf numFmtId="0" fontId="13" fillId="9" borderId="18" xfId="0" applyFont="1" applyFill="1" applyBorder="1" applyAlignment="1">
      <alignment horizontal="center"/>
    </xf>
    <xf numFmtId="0" fontId="13" fillId="9" borderId="19" xfId="0" applyFont="1" applyFill="1" applyBorder="1" applyAlignment="1">
      <alignment horizontal="center"/>
    </xf>
    <xf numFmtId="0" fontId="13" fillId="9" borderId="20" xfId="0" applyFont="1" applyFill="1" applyBorder="1" applyAlignment="1">
      <alignment horizontal="center"/>
    </xf>
    <xf numFmtId="0" fontId="13" fillId="9" borderId="22" xfId="0" applyFont="1" applyFill="1" applyBorder="1" applyAlignment="1">
      <alignment horizontal="center" vertical="center" wrapText="1"/>
    </xf>
    <xf numFmtId="0" fontId="13" fillId="9" borderId="23" xfId="0" applyFont="1" applyFill="1" applyBorder="1" applyAlignment="1">
      <alignment horizontal="center" vertical="center" wrapText="1"/>
    </xf>
    <xf numFmtId="167" fontId="40" fillId="9" borderId="0" xfId="1" applyNumberFormat="1" applyFont="1" applyFill="1" applyAlignment="1">
      <alignment horizontal="left"/>
    </xf>
    <xf numFmtId="167" fontId="29" fillId="9" borderId="17" xfId="1" applyNumberFormat="1" applyFont="1" applyFill="1" applyBorder="1" applyAlignment="1">
      <alignment horizontal="center"/>
    </xf>
    <xf numFmtId="43" fontId="44" fillId="0" borderId="0" xfId="1" applyFont="1" applyAlignment="1">
      <alignment horizontal="center"/>
    </xf>
    <xf numFmtId="0" fontId="65" fillId="18" borderId="1" xfId="4" applyFont="1" applyFill="1"/>
    <xf numFmtId="9" fontId="3" fillId="3" borderId="1" xfId="4" applyNumberFormat="1" applyAlignment="1">
      <alignment horizontal="left"/>
    </xf>
  </cellXfs>
  <cellStyles count="11">
    <cellStyle name="Calculation" xfId="4" builtinId="22"/>
    <cellStyle name="Comma" xfId="1" builtinId="3"/>
    <cellStyle name="Explanatory Text" xfId="5" builtinId="53"/>
    <cellStyle name="Followed Hyperlink" xfId="10" builtinId="9" hidden="1"/>
    <cellStyle name="Followed Hyperlink" xfId="9" builtinId="9" hidden="1"/>
    <cellStyle name="Followed Hyperlink" xfId="8" builtinId="9" hidden="1"/>
    <cellStyle name="Hyperlink" xfId="6" builtinId="8"/>
    <cellStyle name="Input" xfId="3" builtinId="20"/>
    <cellStyle name="Normal" xfId="0" builtinId="0"/>
    <cellStyle name="Normal 2" xfId="7" xr:uid="{00000000-0005-0000-0000-000009000000}"/>
    <cellStyle name="Percent" xfId="2" builtinId="5"/>
  </cellStyles>
  <dxfs count="865">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99FF66"/>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10</xdr:col>
      <xdr:colOff>209550</xdr:colOff>
      <xdr:row>1</xdr:row>
      <xdr:rowOff>142875</xdr:rowOff>
    </xdr:from>
    <xdr:to>
      <xdr:col>12</xdr:col>
      <xdr:colOff>460247</xdr:colOff>
      <xdr:row>4</xdr:row>
      <xdr:rowOff>155231</xdr:rowOff>
    </xdr:to>
    <xdr:pic>
      <xdr:nvPicPr>
        <xdr:cNvPr id="3" name="Picture 2">
          <a:extLst>
            <a:ext uri="{FF2B5EF4-FFF2-40B4-BE49-F238E27FC236}">
              <a16:creationId xmlns:a16="http://schemas.microsoft.com/office/drawing/2014/main" id="{47A80FD4-2667-437D-9A86-8C8341E26F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15350" y="390525"/>
          <a:ext cx="1431797" cy="926756"/>
        </a:xfrm>
        <a:prstGeom prst="rect">
          <a:avLst/>
        </a:prstGeom>
      </xdr:spPr>
    </xdr:pic>
    <xdr:clientData/>
  </xdr:twoCellAnchor>
  <xdr:twoCellAnchor editAs="oneCell">
    <xdr:from>
      <xdr:col>13</xdr:col>
      <xdr:colOff>9526</xdr:colOff>
      <xdr:row>1</xdr:row>
      <xdr:rowOff>9525</xdr:rowOff>
    </xdr:from>
    <xdr:to>
      <xdr:col>14</xdr:col>
      <xdr:colOff>303678</xdr:colOff>
      <xdr:row>4</xdr:row>
      <xdr:rowOff>152400</xdr:rowOff>
    </xdr:to>
    <xdr:pic>
      <xdr:nvPicPr>
        <xdr:cNvPr id="8" name="Picture 7">
          <a:extLst>
            <a:ext uri="{FF2B5EF4-FFF2-40B4-BE49-F238E27FC236}">
              <a16:creationId xmlns:a16="http://schemas.microsoft.com/office/drawing/2014/main" id="{B21A61BF-3B8F-4DB4-9B40-8C543762BF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86976" y="257175"/>
          <a:ext cx="884702" cy="1057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161925</xdr:colOff>
      <xdr:row>1</xdr:row>
      <xdr:rowOff>123826</xdr:rowOff>
    </xdr:from>
    <xdr:to>
      <xdr:col>14</xdr:col>
      <xdr:colOff>482600</xdr:colOff>
      <xdr:row>5</xdr:row>
      <xdr:rowOff>49712</xdr:rowOff>
    </xdr:to>
    <xdr:pic>
      <xdr:nvPicPr>
        <xdr:cNvPr id="2" name="Picture 1" descr="http://www.gicinc.org/Images/GIC_Logo_text.jpg">
          <a:extLst>
            <a:ext uri="{FF2B5EF4-FFF2-40B4-BE49-F238E27FC236}">
              <a16:creationId xmlns:a16="http://schemas.microsoft.com/office/drawing/2014/main" id="{D2C78D5C-58CB-4726-918A-FE7A5D1BED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49075" y="361951"/>
          <a:ext cx="1076325" cy="7259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1</xdr:row>
      <xdr:rowOff>28575</xdr:rowOff>
    </xdr:from>
    <xdr:to>
      <xdr:col>1</xdr:col>
      <xdr:colOff>773524</xdr:colOff>
      <xdr:row>7</xdr:row>
      <xdr:rowOff>171450</xdr:rowOff>
    </xdr:to>
    <xdr:pic>
      <xdr:nvPicPr>
        <xdr:cNvPr id="3" name="Picture 2">
          <a:extLst>
            <a:ext uri="{FF2B5EF4-FFF2-40B4-BE49-F238E27FC236}">
              <a16:creationId xmlns:a16="http://schemas.microsoft.com/office/drawing/2014/main" id="{99B559DC-95A5-49DB-B5E5-1677292EE0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266700"/>
          <a:ext cx="1164049" cy="13430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57150</xdr:colOff>
      <xdr:row>49</xdr:row>
      <xdr:rowOff>19050</xdr:rowOff>
    </xdr:from>
    <xdr:to>
      <xdr:col>8</xdr:col>
      <xdr:colOff>19050</xdr:colOff>
      <xdr:row>51</xdr:row>
      <xdr:rowOff>28575</xdr:rowOff>
    </xdr:to>
    <xdr:pic>
      <xdr:nvPicPr>
        <xdr:cNvPr id="2" name="Picture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638425" y="9782175"/>
          <a:ext cx="1409700"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att\Desktop\TSW%20Calculator_CR_v20250509_v2.xlsx" TargetMode="External"/><Relationship Id="rId1" Type="http://schemas.openxmlformats.org/officeDocument/2006/relationships/externalLinkPath" Target="/Users/Matt/Desktop/TSW%20Calculator_CR_v20250509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Summary"/>
      <sheetName val="1"/>
      <sheetName val="2"/>
      <sheetName val="3"/>
      <sheetName val="4"/>
      <sheetName val="5"/>
      <sheetName val="6"/>
      <sheetName val="TheModel"/>
      <sheetName val="Events"/>
      <sheetName val="Landcover"/>
      <sheetName val="LandcoverPotential"/>
      <sheetName val="LC_HSG_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hdsc.nws.noaa.gov/hdsc/pfds/pfds_map_cont.html?bkmrk=va"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5"/>
  <sheetViews>
    <sheetView showGridLines="0" topLeftCell="A40" workbookViewId="0">
      <selection activeCell="C55" sqref="C55"/>
    </sheetView>
  </sheetViews>
  <sheetFormatPr defaultColWidth="8.85546875" defaultRowHeight="15" x14ac:dyDescent="0.25"/>
  <cols>
    <col min="1" max="1" width="4.85546875" customWidth="1"/>
    <col min="2" max="2" width="37.7109375" customWidth="1"/>
    <col min="3" max="3" width="20" customWidth="1"/>
    <col min="4" max="4" width="8.85546875" style="30"/>
  </cols>
  <sheetData>
    <row r="1" spans="1:11" s="2" customFormat="1" ht="19.5" customHeight="1" x14ac:dyDescent="0.25">
      <c r="A1" s="60"/>
      <c r="B1" s="60" t="s">
        <v>0</v>
      </c>
      <c r="C1" s="3"/>
      <c r="D1" s="3"/>
      <c r="E1" s="3"/>
      <c r="F1" s="3"/>
      <c r="G1" s="3"/>
      <c r="H1" s="3"/>
      <c r="I1" s="3"/>
      <c r="J1" s="3"/>
      <c r="K1" s="3"/>
    </row>
    <row r="2" spans="1:11" ht="24" customHeight="1" x14ac:dyDescent="0.25">
      <c r="A2" s="220" t="s">
        <v>1</v>
      </c>
      <c r="B2" s="351" t="s">
        <v>2</v>
      </c>
      <c r="C2" s="351"/>
      <c r="D2" s="351"/>
      <c r="E2" s="351"/>
      <c r="F2" s="351"/>
      <c r="G2" s="351"/>
      <c r="H2" s="351"/>
      <c r="I2" s="351"/>
      <c r="J2" s="351"/>
    </row>
    <row r="3" spans="1:11" ht="24" customHeight="1" x14ac:dyDescent="0.25">
      <c r="B3" s="351"/>
      <c r="C3" s="351"/>
      <c r="D3" s="351"/>
      <c r="E3" s="351"/>
      <c r="F3" s="351"/>
      <c r="G3" s="351"/>
      <c r="H3" s="351"/>
      <c r="I3" s="351"/>
      <c r="J3" s="351"/>
    </row>
    <row r="4" spans="1:11" ht="24" customHeight="1" x14ac:dyDescent="0.25">
      <c r="A4" s="220" t="s">
        <v>1</v>
      </c>
      <c r="B4" s="351" t="s">
        <v>3</v>
      </c>
      <c r="C4" s="351"/>
      <c r="D4" s="351"/>
      <c r="E4" s="351"/>
      <c r="F4" s="351"/>
      <c r="G4" s="351"/>
      <c r="H4" s="351"/>
      <c r="I4" s="351"/>
      <c r="J4" s="351"/>
    </row>
    <row r="5" spans="1:11" ht="23.25" customHeight="1" x14ac:dyDescent="0.25">
      <c r="B5" s="351"/>
      <c r="C5" s="351"/>
      <c r="D5" s="351"/>
      <c r="E5" s="351"/>
      <c r="F5" s="351"/>
      <c r="G5" s="351"/>
      <c r="H5" s="351"/>
      <c r="I5" s="351"/>
      <c r="J5" s="351"/>
    </row>
    <row r="6" spans="1:11" ht="24" customHeight="1" x14ac:dyDescent="0.25">
      <c r="A6" s="220" t="s">
        <v>1</v>
      </c>
      <c r="B6" s="351" t="s">
        <v>4</v>
      </c>
      <c r="C6" s="351"/>
      <c r="D6" s="351"/>
      <c r="E6" s="351"/>
      <c r="F6" s="351"/>
      <c r="G6" s="351"/>
      <c r="H6" s="351"/>
      <c r="I6" s="351"/>
      <c r="J6" s="351"/>
    </row>
    <row r="7" spans="1:11" ht="24" customHeight="1" x14ac:dyDescent="0.25">
      <c r="B7" s="351"/>
      <c r="C7" s="351"/>
      <c r="D7" s="351"/>
      <c r="E7" s="351"/>
      <c r="F7" s="351"/>
      <c r="G7" s="351"/>
      <c r="H7" s="351"/>
      <c r="I7" s="351"/>
      <c r="J7" s="351"/>
    </row>
    <row r="8" spans="1:11" ht="15" customHeight="1" x14ac:dyDescent="0.25">
      <c r="A8" s="220" t="s">
        <v>1</v>
      </c>
      <c r="B8" s="351" t="s">
        <v>5</v>
      </c>
      <c r="C8" s="351"/>
      <c r="D8" s="351"/>
      <c r="E8" s="351"/>
      <c r="F8" s="351"/>
      <c r="G8" s="351"/>
      <c r="H8" s="351"/>
      <c r="I8" s="351"/>
      <c r="J8" s="351"/>
    </row>
    <row r="9" spans="1:11" x14ac:dyDescent="0.25">
      <c r="A9" s="220" t="s">
        <v>1</v>
      </c>
      <c r="B9" s="350" t="s">
        <v>6</v>
      </c>
      <c r="C9" s="350"/>
      <c r="D9" s="350"/>
      <c r="E9" s="350"/>
      <c r="F9" s="350"/>
      <c r="G9" s="350"/>
      <c r="H9" s="350"/>
      <c r="I9" s="350"/>
      <c r="J9" s="350"/>
    </row>
    <row r="10" spans="1:11" ht="33.75" customHeight="1" x14ac:dyDescent="0.25">
      <c r="A10" s="220" t="s">
        <v>1</v>
      </c>
      <c r="B10" s="350" t="s">
        <v>7</v>
      </c>
      <c r="C10" s="350"/>
      <c r="D10" s="350"/>
      <c r="E10" s="350"/>
      <c r="F10" s="350"/>
      <c r="G10" s="350"/>
      <c r="H10" s="350"/>
      <c r="I10" s="350"/>
      <c r="J10" s="350"/>
    </row>
    <row r="11" spans="1:11" s="2" customFormat="1" ht="19.5" customHeight="1" x14ac:dyDescent="0.25">
      <c r="A11" s="60" t="s">
        <v>8</v>
      </c>
      <c r="B11" s="60"/>
      <c r="C11" s="3"/>
      <c r="D11" s="3"/>
      <c r="E11" s="3"/>
      <c r="F11" s="3"/>
      <c r="G11" s="3"/>
      <c r="H11" s="3"/>
      <c r="I11" s="3"/>
      <c r="J11" s="3"/>
      <c r="K11" s="3"/>
    </row>
    <row r="12" spans="1:11" x14ac:dyDescent="0.25">
      <c r="B12" s="46" t="s">
        <v>9</v>
      </c>
      <c r="C12" s="46" t="s">
        <v>10</v>
      </c>
      <c r="D12" s="30" t="s">
        <v>11</v>
      </c>
    </row>
    <row r="13" spans="1:11" x14ac:dyDescent="0.25">
      <c r="A13">
        <v>1</v>
      </c>
      <c r="B13" t="s">
        <v>12</v>
      </c>
      <c r="C13" s="163" t="s">
        <v>13</v>
      </c>
      <c r="D13" s="76" t="s">
        <v>14</v>
      </c>
    </row>
    <row r="14" spans="1:11" x14ac:dyDescent="0.25">
      <c r="A14">
        <v>2</v>
      </c>
      <c r="B14" t="s">
        <v>15</v>
      </c>
      <c r="C14" s="163" t="s">
        <v>16</v>
      </c>
      <c r="D14" s="76" t="s">
        <v>17</v>
      </c>
    </row>
    <row r="15" spans="1:11" x14ac:dyDescent="0.25">
      <c r="A15">
        <v>3</v>
      </c>
      <c r="B15" t="s">
        <v>18</v>
      </c>
      <c r="C15" s="163" t="s">
        <v>19</v>
      </c>
      <c r="D15" s="76" t="s">
        <v>17</v>
      </c>
    </row>
    <row r="16" spans="1:11" x14ac:dyDescent="0.25">
      <c r="A16">
        <v>4</v>
      </c>
      <c r="B16" t="s">
        <v>20</v>
      </c>
      <c r="C16" s="163" t="s">
        <v>21</v>
      </c>
      <c r="D16" s="76" t="s">
        <v>22</v>
      </c>
    </row>
    <row r="17" spans="1:10" x14ac:dyDescent="0.25">
      <c r="A17">
        <v>5</v>
      </c>
      <c r="B17" t="s">
        <v>23</v>
      </c>
      <c r="C17" s="163" t="s">
        <v>24</v>
      </c>
      <c r="D17" s="76" t="s">
        <v>25</v>
      </c>
    </row>
    <row r="18" spans="1:10" x14ac:dyDescent="0.25">
      <c r="A18">
        <v>6</v>
      </c>
      <c r="B18" t="s">
        <v>26</v>
      </c>
      <c r="C18" s="163" t="s">
        <v>24</v>
      </c>
      <c r="D18" s="76" t="s">
        <v>27</v>
      </c>
    </row>
    <row r="19" spans="1:10" x14ac:dyDescent="0.25">
      <c r="A19">
        <v>7</v>
      </c>
      <c r="B19" t="s">
        <v>28</v>
      </c>
      <c r="C19" s="163" t="s">
        <v>24</v>
      </c>
      <c r="D19" s="76" t="s">
        <v>29</v>
      </c>
    </row>
    <row r="20" spans="1:10" x14ac:dyDescent="0.25">
      <c r="A20">
        <v>9</v>
      </c>
      <c r="B20" t="s">
        <v>30</v>
      </c>
      <c r="C20" s="164">
        <v>1</v>
      </c>
    </row>
    <row r="22" spans="1:10" x14ac:dyDescent="0.25">
      <c r="B22" s="46" t="s">
        <v>31</v>
      </c>
    </row>
    <row r="23" spans="1:10" x14ac:dyDescent="0.25">
      <c r="B23" s="351" t="s">
        <v>32</v>
      </c>
      <c r="C23" s="351"/>
      <c r="D23" s="351"/>
      <c r="E23" s="351"/>
      <c r="F23" s="351"/>
      <c r="G23" s="351"/>
      <c r="H23" s="351"/>
      <c r="I23" s="351"/>
      <c r="J23" s="351"/>
    </row>
    <row r="24" spans="1:10" x14ac:dyDescent="0.25">
      <c r="B24" s="351"/>
      <c r="C24" s="351"/>
      <c r="D24" s="351"/>
      <c r="E24" s="351"/>
      <c r="F24" s="351"/>
      <c r="G24" s="351"/>
      <c r="H24" s="351"/>
      <c r="I24" s="351"/>
      <c r="J24" s="351"/>
    </row>
    <row r="25" spans="1:10" x14ac:dyDescent="0.25">
      <c r="D25"/>
    </row>
    <row r="26" spans="1:10" x14ac:dyDescent="0.25">
      <c r="B26" s="351" t="s">
        <v>33</v>
      </c>
      <c r="C26" s="351"/>
      <c r="D26" s="351"/>
      <c r="E26" s="351"/>
      <c r="F26" s="351"/>
      <c r="G26" s="351"/>
      <c r="H26" s="351"/>
      <c r="I26" s="351"/>
      <c r="J26" s="351"/>
    </row>
    <row r="27" spans="1:10" x14ac:dyDescent="0.25">
      <c r="B27" s="326"/>
      <c r="C27" s="326"/>
      <c r="D27" s="326"/>
      <c r="E27" s="326"/>
      <c r="F27" s="326"/>
      <c r="G27" s="326"/>
      <c r="H27" s="326"/>
      <c r="I27" s="326"/>
      <c r="J27" s="326"/>
    </row>
    <row r="28" spans="1:10" x14ac:dyDescent="0.25">
      <c r="B28" s="326"/>
      <c r="C28" s="327" t="s">
        <v>34</v>
      </c>
      <c r="D28" s="327" t="s">
        <v>11</v>
      </c>
      <c r="E28" s="354" t="s">
        <v>35</v>
      </c>
      <c r="F28" s="354"/>
      <c r="G28" s="354"/>
      <c r="H28" s="354"/>
      <c r="I28" s="326"/>
      <c r="J28" s="326"/>
    </row>
    <row r="29" spans="1:10" x14ac:dyDescent="0.25">
      <c r="B29" s="326"/>
      <c r="C29" s="326" t="s">
        <v>36</v>
      </c>
      <c r="D29" s="165" t="s">
        <v>37</v>
      </c>
      <c r="E29" s="352" t="s">
        <v>38</v>
      </c>
      <c r="F29" s="352"/>
      <c r="G29" s="352"/>
      <c r="H29" s="352"/>
      <c r="I29" s="326"/>
      <c r="J29" s="326"/>
    </row>
    <row r="30" spans="1:10" x14ac:dyDescent="0.25">
      <c r="C30" t="s">
        <v>39</v>
      </c>
      <c r="D30" s="166" t="s">
        <v>40</v>
      </c>
      <c r="E30" s="352" t="s">
        <v>41</v>
      </c>
      <c r="F30" s="352"/>
      <c r="G30" s="352"/>
      <c r="H30" s="352"/>
    </row>
    <row r="31" spans="1:10" x14ac:dyDescent="0.25">
      <c r="C31" t="s">
        <v>42</v>
      </c>
      <c r="D31" s="166" t="s">
        <v>43</v>
      </c>
      <c r="E31" s="352" t="s">
        <v>44</v>
      </c>
      <c r="F31" s="352"/>
      <c r="G31" s="352"/>
      <c r="H31" s="352"/>
    </row>
    <row r="32" spans="1:10" x14ac:dyDescent="0.25">
      <c r="C32" t="s">
        <v>45</v>
      </c>
      <c r="D32" s="166" t="s">
        <v>46</v>
      </c>
      <c r="E32" s="352" t="s">
        <v>47</v>
      </c>
      <c r="F32" s="352"/>
      <c r="G32" s="352"/>
      <c r="H32" s="352"/>
    </row>
    <row r="33" spans="2:8" x14ac:dyDescent="0.25">
      <c r="C33" s="8" t="s">
        <v>48</v>
      </c>
      <c r="D33" s="167" t="s">
        <v>49</v>
      </c>
      <c r="E33" s="353" t="s">
        <v>50</v>
      </c>
      <c r="F33" s="353"/>
      <c r="G33" s="353"/>
      <c r="H33" s="353"/>
    </row>
    <row r="34" spans="2:8" x14ac:dyDescent="0.25">
      <c r="C34" s="8" t="s">
        <v>51</v>
      </c>
      <c r="D34" s="167" t="s">
        <v>52</v>
      </c>
      <c r="E34" s="351" t="s">
        <v>53</v>
      </c>
      <c r="F34" s="351"/>
      <c r="G34" s="351"/>
      <c r="H34" s="351"/>
    </row>
    <row r="35" spans="2:8" x14ac:dyDescent="0.25">
      <c r="D35"/>
    </row>
    <row r="36" spans="2:8" x14ac:dyDescent="0.25">
      <c r="C36" s="46" t="s">
        <v>290</v>
      </c>
      <c r="D36"/>
      <c r="E36" s="354" t="s">
        <v>35</v>
      </c>
      <c r="F36" s="354"/>
      <c r="G36" s="354"/>
      <c r="H36" s="354"/>
    </row>
    <row r="37" spans="2:8" x14ac:dyDescent="0.25">
      <c r="B37" s="46"/>
      <c r="C37" t="s">
        <v>291</v>
      </c>
      <c r="D37"/>
      <c r="E37" t="s">
        <v>296</v>
      </c>
    </row>
    <row r="38" spans="2:8" x14ac:dyDescent="0.25">
      <c r="B38" s="46"/>
      <c r="C38" t="s">
        <v>225</v>
      </c>
      <c r="D38"/>
      <c r="E38" t="s">
        <v>297</v>
      </c>
    </row>
    <row r="39" spans="2:8" x14ac:dyDescent="0.25">
      <c r="B39" s="46"/>
      <c r="C39" t="s">
        <v>150</v>
      </c>
      <c r="D39"/>
      <c r="E39" t="s">
        <v>298</v>
      </c>
    </row>
    <row r="40" spans="2:8" x14ac:dyDescent="0.25">
      <c r="B40" s="46"/>
      <c r="C40" t="s">
        <v>226</v>
      </c>
      <c r="D40"/>
      <c r="E40" t="s">
        <v>299</v>
      </c>
    </row>
    <row r="41" spans="2:8" x14ac:dyDescent="0.25">
      <c r="B41" s="46"/>
      <c r="C41" t="s">
        <v>125</v>
      </c>
      <c r="D41"/>
      <c r="E41" t="s">
        <v>300</v>
      </c>
    </row>
    <row r="42" spans="2:8" x14ac:dyDescent="0.25">
      <c r="B42" s="46"/>
      <c r="C42" t="s">
        <v>292</v>
      </c>
      <c r="D42"/>
      <c r="E42" t="s">
        <v>301</v>
      </c>
    </row>
    <row r="43" spans="2:8" x14ac:dyDescent="0.25">
      <c r="B43" s="46"/>
      <c r="C43" t="s">
        <v>293</v>
      </c>
      <c r="D43"/>
      <c r="E43" t="s">
        <v>302</v>
      </c>
    </row>
    <row r="44" spans="2:8" x14ac:dyDescent="0.25">
      <c r="B44" s="46"/>
      <c r="C44" t="s">
        <v>294</v>
      </c>
      <c r="D44"/>
      <c r="E44" t="s">
        <v>303</v>
      </c>
    </row>
    <row r="45" spans="2:8" x14ac:dyDescent="0.25">
      <c r="B45" s="46"/>
      <c r="C45" t="s">
        <v>295</v>
      </c>
      <c r="D45"/>
      <c r="E45" t="s">
        <v>304</v>
      </c>
    </row>
    <row r="46" spans="2:8" x14ac:dyDescent="0.25">
      <c r="D46"/>
    </row>
    <row r="47" spans="2:8" x14ac:dyDescent="0.25">
      <c r="B47" t="s">
        <v>54</v>
      </c>
      <c r="D47"/>
    </row>
    <row r="49" spans="2:2" x14ac:dyDescent="0.25">
      <c r="B49" s="46" t="s">
        <v>55</v>
      </c>
    </row>
    <row r="50" spans="2:2" x14ac:dyDescent="0.25">
      <c r="B50" s="78" t="s">
        <v>56</v>
      </c>
    </row>
    <row r="51" spans="2:2" x14ac:dyDescent="0.25">
      <c r="B51" s="77" t="s">
        <v>57</v>
      </c>
    </row>
    <row r="52" spans="2:2" x14ac:dyDescent="0.25">
      <c r="B52" s="168" t="s">
        <v>58</v>
      </c>
    </row>
    <row r="53" spans="2:2" x14ac:dyDescent="0.25">
      <c r="B53" s="432" t="s">
        <v>305</v>
      </c>
    </row>
    <row r="54" spans="2:2" x14ac:dyDescent="0.25">
      <c r="B54" s="431"/>
    </row>
    <row r="55" spans="2:2" x14ac:dyDescent="0.25">
      <c r="B55" s="169" t="s">
        <v>59</v>
      </c>
    </row>
  </sheetData>
  <mergeCells count="16">
    <mergeCell ref="E36:H36"/>
    <mergeCell ref="E32:H32"/>
    <mergeCell ref="E33:H33"/>
    <mergeCell ref="E34:H34"/>
    <mergeCell ref="B23:J24"/>
    <mergeCell ref="B26:J26"/>
    <mergeCell ref="E28:H28"/>
    <mergeCell ref="E29:H29"/>
    <mergeCell ref="E30:H30"/>
    <mergeCell ref="E31:H31"/>
    <mergeCell ref="B10:J10"/>
    <mergeCell ref="B2:J3"/>
    <mergeCell ref="B4:J5"/>
    <mergeCell ref="B6:J7"/>
    <mergeCell ref="B8:J8"/>
    <mergeCell ref="B9:J9"/>
  </mergeCells>
  <conditionalFormatting sqref="B53">
    <cfRule type="cellIs" dxfId="860" priority="1" operator="lessThan">
      <formula>$C$13</formula>
    </cfRule>
    <cfRule type="cellIs" dxfId="859" priority="2" operator="greaterThan">
      <formula>$C$13</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77"/>
  <sheetViews>
    <sheetView tabSelected="1" topLeftCell="I4" zoomScale="90" zoomScaleNormal="90" zoomScaleSheetLayoutView="80" workbookViewId="0">
      <selection activeCell="U20" sqref="U20"/>
    </sheetView>
  </sheetViews>
  <sheetFormatPr defaultColWidth="8.85546875" defaultRowHeight="15" x14ac:dyDescent="0.25"/>
  <cols>
    <col min="1" max="1" width="6.140625" customWidth="1"/>
    <col min="2" max="2" width="44.7109375" bestFit="1" customWidth="1"/>
    <col min="3" max="4" width="10.85546875" customWidth="1"/>
    <col min="5" max="8" width="12.42578125" customWidth="1"/>
    <col min="9" max="9" width="16.140625" customWidth="1"/>
    <col min="10" max="11" width="11.7109375" customWidth="1"/>
    <col min="12" max="12" width="14.42578125" customWidth="1"/>
    <col min="14" max="15" width="10.7109375" customWidth="1"/>
    <col min="16" max="16" width="10.42578125" customWidth="1"/>
    <col min="17" max="28" width="8.28515625" customWidth="1"/>
    <col min="29" max="29" width="1.7109375" style="222" customWidth="1"/>
    <col min="30" max="30" width="11.7109375" customWidth="1"/>
    <col min="31" max="31" width="19.42578125" customWidth="1"/>
    <col min="32" max="32" width="12.140625" customWidth="1"/>
    <col min="33" max="33" width="17.42578125" customWidth="1"/>
    <col min="34" max="34" width="12.7109375" customWidth="1"/>
    <col min="35" max="35" width="12.85546875" customWidth="1"/>
    <col min="36" max="36" width="8.7109375" customWidth="1"/>
    <col min="37" max="37" width="8.42578125" customWidth="1"/>
    <col min="38" max="38" width="4.42578125" customWidth="1"/>
  </cols>
  <sheetData>
    <row r="1" spans="1:40" s="2" customFormat="1" ht="18.75" x14ac:dyDescent="0.25">
      <c r="A1" s="1">
        <f>Events!D3</f>
        <v>0</v>
      </c>
      <c r="C1" s="3"/>
      <c r="D1" s="4" t="s">
        <v>60</v>
      </c>
      <c r="G1" s="4"/>
      <c r="H1" s="3"/>
      <c r="I1" s="5" t="s">
        <v>61</v>
      </c>
      <c r="J1" s="355">
        <v>45786</v>
      </c>
      <c r="K1" s="355"/>
      <c r="L1" s="355"/>
      <c r="M1" s="355"/>
      <c r="N1" s="355"/>
      <c r="O1" s="355"/>
      <c r="AC1" s="170"/>
      <c r="AD1" s="24"/>
      <c r="AE1" s="24"/>
      <c r="AF1" s="24"/>
      <c r="AG1" s="24"/>
      <c r="AH1" s="24"/>
      <c r="AI1" s="24"/>
      <c r="AJ1" s="24"/>
      <c r="AK1" s="24"/>
    </row>
    <row r="2" spans="1:40" ht="15.75" x14ac:dyDescent="0.25">
      <c r="C2" s="356" t="s">
        <v>62</v>
      </c>
      <c r="D2" s="356"/>
      <c r="E2" s="356"/>
      <c r="F2" s="356"/>
      <c r="G2" s="356"/>
      <c r="H2" s="356"/>
      <c r="I2" s="356"/>
      <c r="J2" s="356"/>
      <c r="K2" s="356"/>
      <c r="L2" s="356"/>
      <c r="M2" s="356"/>
      <c r="N2" s="328"/>
      <c r="O2" s="6"/>
      <c r="P2" s="6"/>
    </row>
    <row r="3" spans="1:40" ht="15.75" x14ac:dyDescent="0.25">
      <c r="C3" s="356"/>
      <c r="D3" s="356"/>
      <c r="E3" s="356"/>
      <c r="F3" s="356"/>
      <c r="G3" s="356"/>
      <c r="H3" s="356"/>
      <c r="I3" s="356"/>
      <c r="J3" s="356"/>
      <c r="K3" s="356"/>
      <c r="L3" s="356"/>
      <c r="M3" s="356"/>
      <c r="N3" s="328"/>
      <c r="O3" s="6"/>
      <c r="P3" s="6"/>
    </row>
    <row r="4" spans="1:40" ht="15.75" x14ac:dyDescent="0.25">
      <c r="C4" s="356"/>
      <c r="D4" s="356"/>
      <c r="E4" s="356"/>
      <c r="F4" s="356"/>
      <c r="G4" s="356"/>
      <c r="H4" s="356"/>
      <c r="I4" s="356"/>
      <c r="J4" s="356"/>
      <c r="K4" s="356"/>
      <c r="L4" s="356"/>
      <c r="M4" s="356"/>
      <c r="N4" s="328"/>
      <c r="O4" s="6"/>
      <c r="P4" s="6"/>
    </row>
    <row r="5" spans="1:40" ht="15.75" x14ac:dyDescent="0.25">
      <c r="C5" s="356"/>
      <c r="D5" s="356"/>
      <c r="E5" s="356"/>
      <c r="F5" s="356"/>
      <c r="G5" s="356"/>
      <c r="H5" s="356"/>
      <c r="I5" s="356"/>
      <c r="J5" s="356"/>
      <c r="K5" s="356"/>
      <c r="L5" s="356"/>
      <c r="M5" s="356"/>
      <c r="N5" s="328"/>
      <c r="O5" s="6"/>
      <c r="P5" s="6"/>
    </row>
    <row r="6" spans="1:40" ht="15.75" x14ac:dyDescent="0.25">
      <c r="C6" s="356"/>
      <c r="D6" s="356"/>
      <c r="E6" s="356"/>
      <c r="F6" s="356"/>
      <c r="G6" s="356"/>
      <c r="H6" s="356"/>
      <c r="I6" s="356"/>
      <c r="J6" s="356"/>
      <c r="K6" s="356"/>
      <c r="L6" s="356"/>
      <c r="M6" s="356"/>
      <c r="N6" s="328"/>
      <c r="O6" s="6"/>
      <c r="P6" s="6"/>
      <c r="AG6" t="s">
        <v>63</v>
      </c>
    </row>
    <row r="7" spans="1:40" ht="15.75" x14ac:dyDescent="0.25">
      <c r="C7" s="356"/>
      <c r="D7" s="356"/>
      <c r="E7" s="356"/>
      <c r="F7" s="356"/>
      <c r="G7" s="356"/>
      <c r="H7" s="356"/>
      <c r="I7" s="356"/>
      <c r="J7" s="356"/>
      <c r="K7" s="356"/>
      <c r="L7" s="356"/>
      <c r="M7" s="356"/>
      <c r="N7" s="328"/>
      <c r="AG7" s="97">
        <f ca="1">SUM(AF9+AG9)</f>
        <v>0</v>
      </c>
    </row>
    <row r="8" spans="1:40" ht="25.5" customHeight="1" x14ac:dyDescent="0.25">
      <c r="E8" s="357" t="s">
        <v>64</v>
      </c>
      <c r="F8" s="358"/>
      <c r="G8" s="359"/>
      <c r="AD8" s="360" t="s">
        <v>65</v>
      </c>
      <c r="AE8" s="360"/>
      <c r="AF8" s="360"/>
      <c r="AG8" s="360"/>
      <c r="AH8" s="360"/>
      <c r="AI8" s="360"/>
      <c r="AJ8" s="360"/>
      <c r="AK8" s="361"/>
    </row>
    <row r="9" spans="1:40" ht="15.75" x14ac:dyDescent="0.25">
      <c r="B9" s="7" t="s">
        <v>66</v>
      </c>
      <c r="C9" s="217" t="e">
        <f ca="1">SUMPRODUCT(C13:C76,Landcover!$N$5:$N$68)/Landcover!$N$3</f>
        <v>#DIV/0!</v>
      </c>
      <c r="D9" s="191" t="e">
        <f>Landcover!G3/Landcover!N3</f>
        <v>#DIV/0!</v>
      </c>
      <c r="E9" s="349">
        <f ca="1">SUM(E13:E76)</f>
        <v>0</v>
      </c>
      <c r="F9" s="349">
        <f ca="1">SUM(F13:F76)</f>
        <v>0</v>
      </c>
      <c r="G9" s="349">
        <f ca="1">SUM(G13:G76)</f>
        <v>0</v>
      </c>
      <c r="H9" s="217" t="e">
        <f ca="1">SUMPRODUCT(H13:H76,Landcover!$N$5:$N$68)/Landcover!$N$3</f>
        <v>#DIV/0!</v>
      </c>
      <c r="Q9" s="243">
        <f ca="1">SUM(Q13:Q76)</f>
        <v>0</v>
      </c>
      <c r="R9" s="243" t="e">
        <f ca="1">SUMPRODUCT(R13:R76,AD13:AD76)/SUM(AD13:AD76)</f>
        <v>#DIV/0!</v>
      </c>
      <c r="S9" s="243">
        <f ca="1">SUM(S13:S76)</f>
        <v>0</v>
      </c>
      <c r="T9" s="243" t="e">
        <f ca="1">SUMPRODUCT(T13:T76,AD13:AD76)/SUM(AD13:AD76)</f>
        <v>#DIV/0!</v>
      </c>
      <c r="U9" s="243">
        <f ca="1">SUM(U13:U76)</f>
        <v>0</v>
      </c>
      <c r="V9" s="243" t="e">
        <f ca="1">SUMPRODUCT(V13:V76,AD13:AD76)/SUM(AD13:AD76)</f>
        <v>#DIV/0!</v>
      </c>
      <c r="W9" s="243">
        <f ca="1">SUM(W13:W76)</f>
        <v>0</v>
      </c>
      <c r="X9" s="243" t="e">
        <f ca="1">SUMPRODUCT(X13:X76,AD13:AD76)/SUM(AD13:AD76)</f>
        <v>#DIV/0!</v>
      </c>
      <c r="Y9" s="243">
        <f ca="1">SUM(Y13:Y76)</f>
        <v>0</v>
      </c>
      <c r="Z9" s="243" t="e">
        <f ca="1">SUMPRODUCT(Z13:Z76,AD13:AD76)/SUM(AD13:AD76)</f>
        <v>#DIV/0!</v>
      </c>
      <c r="AA9" s="243">
        <f ca="1">SUM(AA13:AA76)</f>
        <v>0</v>
      </c>
      <c r="AB9" s="243" t="e">
        <f ca="1">SUMPRODUCT(AB13:AB76,AD13:AD76)/SUM(AD13:AD76)</f>
        <v>#DIV/0!</v>
      </c>
      <c r="AD9" s="189">
        <f t="shared" ref="AD9:AK9" ca="1" si="0">SUM(AD13:AD76)</f>
        <v>0</v>
      </c>
      <c r="AE9" s="189">
        <f t="shared" ca="1" si="0"/>
        <v>0</v>
      </c>
      <c r="AF9" s="189">
        <f t="shared" ca="1" si="0"/>
        <v>0</v>
      </c>
      <c r="AG9" s="189">
        <f t="shared" ca="1" si="0"/>
        <v>0</v>
      </c>
      <c r="AH9" s="189">
        <f t="shared" ca="1" si="0"/>
        <v>0</v>
      </c>
      <c r="AI9" s="189">
        <f t="shared" ca="1" si="0"/>
        <v>0</v>
      </c>
      <c r="AJ9" s="189">
        <f t="shared" ca="1" si="0"/>
        <v>0</v>
      </c>
      <c r="AK9" s="189">
        <f t="shared" ca="1" si="0"/>
        <v>0</v>
      </c>
    </row>
    <row r="10" spans="1:40" ht="15" customHeight="1" x14ac:dyDescent="0.25">
      <c r="B10" s="362" t="s">
        <v>67</v>
      </c>
      <c r="C10" s="362"/>
      <c r="D10" s="362"/>
      <c r="E10" s="362"/>
      <c r="F10" s="362"/>
      <c r="G10" s="362"/>
      <c r="H10" s="362"/>
      <c r="I10" s="363" t="s">
        <v>68</v>
      </c>
      <c r="J10" s="364"/>
      <c r="K10" s="364"/>
      <c r="L10" s="365"/>
      <c r="P10" s="17" t="s">
        <v>68</v>
      </c>
      <c r="Q10" s="366" t="s">
        <v>67</v>
      </c>
      <c r="R10" s="367"/>
      <c r="S10" s="367"/>
      <c r="T10" s="367"/>
      <c r="U10" s="367"/>
      <c r="V10" s="367"/>
      <c r="W10" s="367"/>
      <c r="X10" s="367"/>
      <c r="Y10" s="367"/>
      <c r="Z10" s="367"/>
      <c r="AA10" s="367"/>
      <c r="AB10" s="368"/>
      <c r="AD10" s="369" t="s">
        <v>69</v>
      </c>
      <c r="AE10" s="369"/>
      <c r="AF10" s="369"/>
      <c r="AG10" s="369"/>
      <c r="AH10" s="369"/>
      <c r="AI10" s="369"/>
      <c r="AJ10" s="369"/>
      <c r="AK10" s="370"/>
    </row>
    <row r="11" spans="1:40" s="8" customFormat="1" ht="71.25" customHeight="1" x14ac:dyDescent="0.25">
      <c r="B11" s="9" t="s">
        <v>70</v>
      </c>
      <c r="C11" s="181" t="s">
        <v>71</v>
      </c>
      <c r="D11" s="181" t="s">
        <v>72</v>
      </c>
      <c r="E11" s="181" t="s">
        <v>73</v>
      </c>
      <c r="F11" s="181" t="s">
        <v>74</v>
      </c>
      <c r="G11" s="181" t="s">
        <v>75</v>
      </c>
      <c r="H11" s="181" t="s">
        <v>76</v>
      </c>
      <c r="I11" s="182" t="s">
        <v>77</v>
      </c>
      <c r="J11" s="371" t="s">
        <v>78</v>
      </c>
      <c r="K11" s="371"/>
      <c r="L11" s="183" t="s">
        <v>79</v>
      </c>
      <c r="O11" s="329" t="s">
        <v>80</v>
      </c>
      <c r="P11" s="183" t="s">
        <v>81</v>
      </c>
      <c r="Q11" s="372" t="s">
        <v>82</v>
      </c>
      <c r="R11" s="373"/>
      <c r="S11" s="373"/>
      <c r="T11" s="373"/>
      <c r="U11" s="373"/>
      <c r="V11" s="374"/>
      <c r="W11" s="375" t="s">
        <v>83</v>
      </c>
      <c r="X11" s="375"/>
      <c r="Y11" s="375"/>
      <c r="Z11" s="375"/>
      <c r="AA11" s="375"/>
      <c r="AB11" s="375"/>
      <c r="AC11" s="171"/>
      <c r="AD11" s="190"/>
      <c r="AE11" s="317"/>
      <c r="AF11" s="190"/>
      <c r="AG11" s="190"/>
      <c r="AH11" s="190"/>
      <c r="AI11" s="190"/>
      <c r="AJ11" s="190"/>
      <c r="AK11" s="190"/>
    </row>
    <row r="12" spans="1:40" s="8" customFormat="1" ht="75" x14ac:dyDescent="0.25">
      <c r="B12" s="9"/>
      <c r="C12" s="376" t="s">
        <v>84</v>
      </c>
      <c r="D12" s="377"/>
      <c r="E12" s="357" t="s">
        <v>64</v>
      </c>
      <c r="F12" s="358"/>
      <c r="G12" s="359"/>
      <c r="H12" s="331" t="s">
        <v>84</v>
      </c>
      <c r="I12" s="181" t="s">
        <v>85</v>
      </c>
      <c r="J12" s="181" t="s">
        <v>86</v>
      </c>
      <c r="K12" s="181" t="s">
        <v>87</v>
      </c>
      <c r="L12" s="181" t="s">
        <v>88</v>
      </c>
      <c r="M12" s="181" t="s">
        <v>89</v>
      </c>
      <c r="N12" s="181" t="s">
        <v>90</v>
      </c>
      <c r="O12" s="181" t="s">
        <v>91</v>
      </c>
      <c r="P12" s="181" t="s">
        <v>92</v>
      </c>
      <c r="Q12" s="181" t="s">
        <v>93</v>
      </c>
      <c r="R12" s="181" t="s">
        <v>94</v>
      </c>
      <c r="S12" s="181" t="s">
        <v>95</v>
      </c>
      <c r="T12" s="181" t="s">
        <v>96</v>
      </c>
      <c r="U12" s="181" t="s">
        <v>97</v>
      </c>
      <c r="V12" s="181" t="s">
        <v>98</v>
      </c>
      <c r="W12" s="181" t="s">
        <v>93</v>
      </c>
      <c r="X12" s="181" t="s">
        <v>94</v>
      </c>
      <c r="Y12" s="181" t="s">
        <v>95</v>
      </c>
      <c r="Z12" s="181" t="s">
        <v>96</v>
      </c>
      <c r="AA12" s="242" t="s">
        <v>97</v>
      </c>
      <c r="AB12" s="181" t="s">
        <v>98</v>
      </c>
      <c r="AC12" s="171"/>
      <c r="AD12" s="181" t="s">
        <v>99</v>
      </c>
      <c r="AE12" s="181" t="s">
        <v>100</v>
      </c>
      <c r="AF12" s="181" t="s">
        <v>71</v>
      </c>
      <c r="AG12" s="181" t="s">
        <v>72</v>
      </c>
      <c r="AH12" s="181" t="s">
        <v>101</v>
      </c>
      <c r="AI12" s="181" t="s">
        <v>102</v>
      </c>
      <c r="AJ12" s="181" t="s">
        <v>103</v>
      </c>
      <c r="AK12" s="181" t="s">
        <v>104</v>
      </c>
    </row>
    <row r="13" spans="1:40" x14ac:dyDescent="0.25">
      <c r="A13" s="10">
        <v>1</v>
      </c>
      <c r="B13" s="11" t="str">
        <f>IF(ISNONTEXT(Landcover!B5),"",Landcover!B5)</f>
        <v/>
      </c>
      <c r="C13" s="12" t="str">
        <f ca="1">IFERROR(INDIRECT($A13&amp;"!h19"),"")</f>
        <v/>
      </c>
      <c r="D13" s="12">
        <f ca="1">IFERROR(INDIRECT($A13&amp;"!h20"),"")</f>
        <v>0</v>
      </c>
      <c r="E13" s="240">
        <f ca="1">IFERROR(INDIRECT($A13&amp;"!h22"),"")</f>
        <v>0</v>
      </c>
      <c r="F13" s="13">
        <f ca="1">IFERROR(INDIRECT($A13&amp;"!e31"),"")</f>
        <v>0</v>
      </c>
      <c r="G13" s="13" t="str">
        <f ca="1">IFERROR(INDIRECT($A13&amp;"!n22"),"")</f>
        <v/>
      </c>
      <c r="H13" s="14" t="str">
        <f ca="1">IFERROR(((C13-(C13*((J13+K13)/2)))+O13),"")</f>
        <v/>
      </c>
      <c r="I13" s="15" t="s">
        <v>105</v>
      </c>
      <c r="J13" s="16">
        <v>0</v>
      </c>
      <c r="K13" s="16">
        <v>0</v>
      </c>
      <c r="L13" s="16">
        <v>0</v>
      </c>
      <c r="M13" s="12" t="str">
        <f ca="1">IFERROR(INDIRECT($A13&amp;"!n19"),"")</f>
        <v/>
      </c>
      <c r="N13" s="12" t="str">
        <f ca="1">IFERROR(M13-C13,"")</f>
        <v/>
      </c>
      <c r="O13" s="12" t="str">
        <f ca="1">IFERROR((M13-C13)*P13,"")</f>
        <v/>
      </c>
      <c r="P13" s="16">
        <v>0</v>
      </c>
      <c r="Q13" s="312">
        <f ca="1">IFERROR(ROUND(INDIRECT($A13&amp;"!AJ17"),0), "")</f>
        <v>0</v>
      </c>
      <c r="R13" s="241" t="str">
        <f ca="1">IFERROR(ROUND(INDIRECT($A13&amp;"!AJ18"),0),"")</f>
        <v/>
      </c>
      <c r="S13" s="312">
        <f ca="1">IFERROR(ROUND(INDIRECT($A13&amp;"!AK17"),0),"")</f>
        <v>0</v>
      </c>
      <c r="T13" s="241" t="str">
        <f ca="1">IFERROR(ROUND(INDIRECT($A13&amp;"!AK18"),0),"")</f>
        <v/>
      </c>
      <c r="U13" s="312">
        <f ca="1">IFERROR(ROUND(INDIRECT($A13&amp;"!AL17"),0),"")</f>
        <v>0</v>
      </c>
      <c r="V13" s="241" t="str">
        <f ca="1">IFERROR(ROUND(INDIRECT($A13&amp;"!AL18"),0),"")</f>
        <v/>
      </c>
      <c r="W13" s="312">
        <f ca="1">IFERROR(ROUND(INDIRECT($A13&amp;"!AJ25"),0),"")</f>
        <v>0</v>
      </c>
      <c r="X13" s="241" t="str">
        <f ca="1">IFERROR(ROUND(INDIRECT($A13&amp;"!AJ26"),0),"")</f>
        <v/>
      </c>
      <c r="Y13" s="312">
        <f ca="1">IFERROR(ROUND(INDIRECT($A13&amp;"!AK25"),0),"")</f>
        <v>0</v>
      </c>
      <c r="Z13" s="241" t="str">
        <f ca="1">IFERROR(ROUND(INDIRECT($A13&amp;"!AK26"),0),"")</f>
        <v/>
      </c>
      <c r="AA13" s="313">
        <f ca="1">IFERROR(ROUND(INDIRECT($A13&amp;"!AL25"),0),"")</f>
        <v>0</v>
      </c>
      <c r="AB13" s="241" t="str">
        <f ca="1">IFERROR(ROUND(INDIRECT($A13&amp;"!AL26"),0),"")</f>
        <v/>
      </c>
      <c r="AD13" s="223">
        <f ca="1">IFERROR(INDIRECT($A13&amp;"!d16"),"")</f>
        <v>0</v>
      </c>
      <c r="AE13" s="223">
        <f ca="1">IFERROR(INDIRECT($A13&amp;"!d35"),"")</f>
        <v>0</v>
      </c>
      <c r="AF13" s="223">
        <f ca="1">IFERROR(INDIRECT($A13&amp;"!d36"),"")</f>
        <v>0</v>
      </c>
      <c r="AG13" s="223">
        <f ca="1">IFERROR(INDIRECT($A13&amp;"!d38"),"")</f>
        <v>0</v>
      </c>
      <c r="AH13" s="223">
        <f ca="1">IFERROR(INDIRECT($A13&amp;"!d39"),"")</f>
        <v>0</v>
      </c>
      <c r="AI13" s="223">
        <f ca="1">IFERROR(INDIRECT($A13&amp;"!d40"),"")</f>
        <v>0</v>
      </c>
      <c r="AJ13" s="223">
        <f ca="1">IFERROR(INDIRECT($A13&amp;"!d41"),"")</f>
        <v>0</v>
      </c>
      <c r="AK13" s="223">
        <f ca="1">IFERROR(INDIRECT($A13&amp;"!d42"),"")</f>
        <v>0</v>
      </c>
      <c r="AM13" s="251"/>
      <c r="AN13" s="117"/>
    </row>
    <row r="14" spans="1:40" x14ac:dyDescent="0.25">
      <c r="A14" s="10">
        <v>2</v>
      </c>
      <c r="B14" s="11" t="str">
        <f>IF(ISNONTEXT(Landcover!B6),"",Landcover!B6)</f>
        <v/>
      </c>
      <c r="C14" s="12" t="str">
        <f t="shared" ref="C14:C76" ca="1" si="1">IFERROR(INDIRECT($A14&amp;"!h19"),"")</f>
        <v/>
      </c>
      <c r="D14" s="12">
        <f t="shared" ref="D14:D76" ca="1" si="2">IFERROR(INDIRECT($A14&amp;"!h20"),"")</f>
        <v>0</v>
      </c>
      <c r="E14" s="240">
        <f t="shared" ref="E14:E76" ca="1" si="3">IFERROR(INDIRECT($A14&amp;"!h22"),"")</f>
        <v>0</v>
      </c>
      <c r="F14" s="13">
        <f t="shared" ref="F14:F76" ca="1" si="4">IFERROR(INDIRECT($A14&amp;"!e31"),"")</f>
        <v>0</v>
      </c>
      <c r="G14" s="13" t="str">
        <f t="shared" ref="G14:G76" ca="1" si="5">IFERROR(INDIRECT($A14&amp;"!n22"),"")</f>
        <v/>
      </c>
      <c r="H14" s="14" t="str">
        <f t="shared" ref="H14:H76" ca="1" si="6">IFERROR(((C14-(C14*((J14+K14)/2)))+O14),"")</f>
        <v/>
      </c>
      <c r="I14" s="15" t="s">
        <v>105</v>
      </c>
      <c r="J14" s="16">
        <v>0</v>
      </c>
      <c r="K14" s="16">
        <v>0</v>
      </c>
      <c r="L14" s="16">
        <v>0</v>
      </c>
      <c r="M14" s="12" t="str">
        <f t="shared" ref="M14:M76" ca="1" si="7">IFERROR(INDIRECT($A14&amp;"!n19"),"")</f>
        <v/>
      </c>
      <c r="N14" s="12" t="str">
        <f t="shared" ref="N14:N76" ca="1" si="8">IFERROR(M14-C14,"")</f>
        <v/>
      </c>
      <c r="O14" s="12" t="str">
        <f t="shared" ref="O14:O15" ca="1" si="9">IFERROR((M14-C14)*P14,"")</f>
        <v/>
      </c>
      <c r="P14" s="16">
        <v>0</v>
      </c>
      <c r="Q14" s="312">
        <f t="shared" ref="Q14:Q76" ca="1" si="10">IFERROR(ROUND(INDIRECT($A14&amp;"!AJ17"),0), "")</f>
        <v>0</v>
      </c>
      <c r="R14" s="241" t="str">
        <f t="shared" ref="R14:R76" ca="1" si="11">IFERROR(ROUND(INDIRECT($A14&amp;"!AJ18"),0),"")</f>
        <v/>
      </c>
      <c r="S14" s="312">
        <f t="shared" ref="S14:S76" ca="1" si="12">IFERROR(ROUND(INDIRECT($A14&amp;"!AK17"),0),"")</f>
        <v>0</v>
      </c>
      <c r="T14" s="241" t="str">
        <f t="shared" ref="T14:T76" ca="1" si="13">IFERROR(ROUND(INDIRECT($A14&amp;"!AK18"),0),"")</f>
        <v/>
      </c>
      <c r="U14" s="312">
        <f t="shared" ref="U14:U76" ca="1" si="14">IFERROR(ROUND(INDIRECT($A14&amp;"!AL17"),0),"")</f>
        <v>0</v>
      </c>
      <c r="V14" s="241" t="str">
        <f t="shared" ref="V14:V76" ca="1" si="15">IFERROR(ROUND(INDIRECT($A14&amp;"!AL18"),0),"")</f>
        <v/>
      </c>
      <c r="W14" s="312">
        <f t="shared" ref="W14:W76" ca="1" si="16">IFERROR(ROUND(INDIRECT($A14&amp;"!AJ25"),0),"")</f>
        <v>0</v>
      </c>
      <c r="X14" s="241" t="str">
        <f t="shared" ref="X14:X76" ca="1" si="17">IFERROR(ROUND(INDIRECT($A14&amp;"!AJ26"),0),"")</f>
        <v/>
      </c>
      <c r="Y14" s="312">
        <f t="shared" ref="Y14:Y76" ca="1" si="18">IFERROR(ROUND(INDIRECT($A14&amp;"!AK25"),0),"")</f>
        <v>0</v>
      </c>
      <c r="Z14" s="241" t="str">
        <f t="shared" ref="Z14:Z76" ca="1" si="19">IFERROR(ROUND(INDIRECT($A14&amp;"!AK26"),0),"")</f>
        <v/>
      </c>
      <c r="AA14" s="313">
        <f t="shared" ref="AA14:AA76" ca="1" si="20">IFERROR(ROUND(INDIRECT($A14&amp;"!AL25"),0),"")</f>
        <v>0</v>
      </c>
      <c r="AB14" s="241" t="str">
        <f t="shared" ref="AB14:AB76" ca="1" si="21">IFERROR(ROUND(INDIRECT($A14&amp;"!AL26"),0),"")</f>
        <v/>
      </c>
      <c r="AD14" s="223">
        <f t="shared" ref="AD14:AD76" ca="1" si="22">IFERROR(INDIRECT($A14&amp;"!d16"),"")</f>
        <v>0</v>
      </c>
      <c r="AE14" s="223">
        <f t="shared" ref="AE14:AE76" ca="1" si="23">IFERROR(INDIRECT($A14&amp;"!d35"),"")</f>
        <v>0</v>
      </c>
      <c r="AF14" s="223">
        <f t="shared" ref="AF14:AF76" ca="1" si="24">IFERROR(INDIRECT($A14&amp;"!d36"),"")</f>
        <v>0</v>
      </c>
      <c r="AG14" s="223">
        <f t="shared" ref="AG14:AG76" ca="1" si="25">IFERROR(INDIRECT($A14&amp;"!d38"),"")</f>
        <v>0</v>
      </c>
      <c r="AH14" s="223">
        <f t="shared" ref="AH14:AH76" ca="1" si="26">IFERROR(INDIRECT($A14&amp;"!d39"),"")</f>
        <v>0</v>
      </c>
      <c r="AI14" s="223">
        <f t="shared" ref="AI14:AI76" ca="1" si="27">IFERROR(INDIRECT($A14&amp;"!d40"),"")</f>
        <v>0</v>
      </c>
      <c r="AJ14" s="223">
        <f t="shared" ref="AJ14:AJ76" ca="1" si="28">IFERROR(INDIRECT($A14&amp;"!d41"),"")</f>
        <v>0</v>
      </c>
      <c r="AK14" s="223">
        <f t="shared" ref="AK14:AK76" ca="1" si="29">IFERROR(INDIRECT($A14&amp;"!d42"),"")</f>
        <v>0</v>
      </c>
      <c r="AM14" s="251"/>
      <c r="AN14" s="117"/>
    </row>
    <row r="15" spans="1:40" x14ac:dyDescent="0.25">
      <c r="A15" s="10">
        <v>3</v>
      </c>
      <c r="B15" s="11" t="str">
        <f>IF(ISNONTEXT(Landcover!B7),"",Landcover!B7)</f>
        <v/>
      </c>
      <c r="C15" s="12" t="str">
        <f t="shared" ca="1" si="1"/>
        <v/>
      </c>
      <c r="D15" s="12">
        <f t="shared" ca="1" si="2"/>
        <v>0</v>
      </c>
      <c r="E15" s="240">
        <f t="shared" ca="1" si="3"/>
        <v>0</v>
      </c>
      <c r="F15" s="13">
        <f t="shared" ca="1" si="4"/>
        <v>0</v>
      </c>
      <c r="G15" s="13" t="str">
        <f t="shared" ca="1" si="5"/>
        <v/>
      </c>
      <c r="H15" s="14" t="str">
        <f t="shared" ca="1" si="6"/>
        <v/>
      </c>
      <c r="I15" s="15" t="s">
        <v>105</v>
      </c>
      <c r="J15" s="16">
        <v>0</v>
      </c>
      <c r="K15" s="16">
        <v>0</v>
      </c>
      <c r="L15" s="16">
        <v>0</v>
      </c>
      <c r="M15" s="12" t="str">
        <f t="shared" ca="1" si="7"/>
        <v/>
      </c>
      <c r="N15" s="12" t="str">
        <f t="shared" ca="1" si="8"/>
        <v/>
      </c>
      <c r="O15" s="12" t="str">
        <f t="shared" ca="1" si="9"/>
        <v/>
      </c>
      <c r="P15" s="16">
        <v>0</v>
      </c>
      <c r="Q15" s="312">
        <f t="shared" ca="1" si="10"/>
        <v>0</v>
      </c>
      <c r="R15" s="241" t="str">
        <f t="shared" ca="1" si="11"/>
        <v/>
      </c>
      <c r="S15" s="312">
        <f t="shared" ca="1" si="12"/>
        <v>0</v>
      </c>
      <c r="T15" s="241" t="str">
        <f t="shared" ca="1" si="13"/>
        <v/>
      </c>
      <c r="U15" s="312">
        <f t="shared" ca="1" si="14"/>
        <v>0</v>
      </c>
      <c r="V15" s="241" t="str">
        <f t="shared" ca="1" si="15"/>
        <v/>
      </c>
      <c r="W15" s="312">
        <f t="shared" ca="1" si="16"/>
        <v>0</v>
      </c>
      <c r="X15" s="241" t="str">
        <f t="shared" ca="1" si="17"/>
        <v/>
      </c>
      <c r="Y15" s="312">
        <f t="shared" ca="1" si="18"/>
        <v>0</v>
      </c>
      <c r="Z15" s="241" t="str">
        <f t="shared" ca="1" si="19"/>
        <v/>
      </c>
      <c r="AA15" s="313">
        <f t="shared" ca="1" si="20"/>
        <v>0</v>
      </c>
      <c r="AB15" s="241" t="str">
        <f t="shared" ca="1" si="21"/>
        <v/>
      </c>
      <c r="AD15" s="223">
        <f t="shared" ca="1" si="22"/>
        <v>0</v>
      </c>
      <c r="AE15" s="223">
        <f t="shared" ca="1" si="23"/>
        <v>0</v>
      </c>
      <c r="AF15" s="223">
        <f t="shared" ca="1" si="24"/>
        <v>0</v>
      </c>
      <c r="AG15" s="223">
        <f t="shared" ca="1" si="25"/>
        <v>0</v>
      </c>
      <c r="AH15" s="223">
        <f t="shared" ca="1" si="26"/>
        <v>0</v>
      </c>
      <c r="AI15" s="223">
        <f t="shared" ca="1" si="27"/>
        <v>0</v>
      </c>
      <c r="AJ15" s="223">
        <f t="shared" ca="1" si="28"/>
        <v>0</v>
      </c>
      <c r="AK15" s="223">
        <f t="shared" ca="1" si="29"/>
        <v>0</v>
      </c>
      <c r="AM15" s="251"/>
      <c r="AN15" s="117"/>
    </row>
    <row r="16" spans="1:40" x14ac:dyDescent="0.25">
      <c r="A16" s="10">
        <v>4</v>
      </c>
      <c r="B16" s="11" t="str">
        <f>IF(ISNONTEXT(Landcover!B8),"",Landcover!B8)</f>
        <v/>
      </c>
      <c r="C16" s="12" t="str">
        <f t="shared" ca="1" si="1"/>
        <v/>
      </c>
      <c r="D16" s="12" t="str">
        <f t="shared" ca="1" si="2"/>
        <v/>
      </c>
      <c r="E16" s="240" t="str">
        <f t="shared" ca="1" si="3"/>
        <v/>
      </c>
      <c r="F16" s="13" t="str">
        <f t="shared" ca="1" si="4"/>
        <v/>
      </c>
      <c r="G16" s="13" t="str">
        <f t="shared" ca="1" si="5"/>
        <v/>
      </c>
      <c r="H16" s="14" t="str">
        <f t="shared" ca="1" si="6"/>
        <v/>
      </c>
      <c r="I16" s="15" t="s">
        <v>105</v>
      </c>
      <c r="J16" s="16">
        <v>0</v>
      </c>
      <c r="K16" s="16">
        <v>0</v>
      </c>
      <c r="L16" s="16">
        <v>0</v>
      </c>
      <c r="M16" s="12" t="str">
        <f t="shared" ca="1" si="7"/>
        <v/>
      </c>
      <c r="N16" s="12" t="str">
        <f t="shared" ca="1" si="8"/>
        <v/>
      </c>
      <c r="O16" s="12" t="str">
        <f t="shared" ref="O16:O76" ca="1" si="30">IFERROR((M16-C16)*P16,"")</f>
        <v/>
      </c>
      <c r="P16" s="16">
        <v>0</v>
      </c>
      <c r="Q16" s="312" t="str">
        <f t="shared" ca="1" si="10"/>
        <v/>
      </c>
      <c r="R16" s="241" t="str">
        <f t="shared" ca="1" si="11"/>
        <v/>
      </c>
      <c r="S16" s="312" t="str">
        <f t="shared" ca="1" si="12"/>
        <v/>
      </c>
      <c r="T16" s="241" t="str">
        <f t="shared" ca="1" si="13"/>
        <v/>
      </c>
      <c r="U16" s="312" t="str">
        <f t="shared" ca="1" si="14"/>
        <v/>
      </c>
      <c r="V16" s="241" t="str">
        <f t="shared" ca="1" si="15"/>
        <v/>
      </c>
      <c r="W16" s="312" t="str">
        <f t="shared" ca="1" si="16"/>
        <v/>
      </c>
      <c r="X16" s="241" t="str">
        <f t="shared" ca="1" si="17"/>
        <v/>
      </c>
      <c r="Y16" s="312" t="str">
        <f t="shared" ca="1" si="18"/>
        <v/>
      </c>
      <c r="Z16" s="241" t="str">
        <f t="shared" ca="1" si="19"/>
        <v/>
      </c>
      <c r="AA16" s="313" t="str">
        <f t="shared" ca="1" si="20"/>
        <v/>
      </c>
      <c r="AB16" s="241" t="str">
        <f t="shared" ca="1" si="21"/>
        <v/>
      </c>
      <c r="AD16" s="223" t="str">
        <f t="shared" ca="1" si="22"/>
        <v/>
      </c>
      <c r="AE16" s="223" t="str">
        <f t="shared" ca="1" si="23"/>
        <v/>
      </c>
      <c r="AF16" s="223" t="str">
        <f t="shared" ca="1" si="24"/>
        <v/>
      </c>
      <c r="AG16" s="223" t="str">
        <f t="shared" ca="1" si="25"/>
        <v/>
      </c>
      <c r="AH16" s="223" t="str">
        <f t="shared" ca="1" si="26"/>
        <v/>
      </c>
      <c r="AI16" s="223" t="str">
        <f t="shared" ca="1" si="27"/>
        <v/>
      </c>
      <c r="AJ16" s="223" t="str">
        <f t="shared" ca="1" si="28"/>
        <v/>
      </c>
      <c r="AK16" s="223" t="str">
        <f t="shared" ca="1" si="29"/>
        <v/>
      </c>
      <c r="AM16" s="251"/>
      <c r="AN16" s="117"/>
    </row>
    <row r="17" spans="1:40" x14ac:dyDescent="0.25">
      <c r="A17" s="10">
        <v>5</v>
      </c>
      <c r="B17" s="11" t="str">
        <f>IF(ISNONTEXT(Landcover!B9),"",Landcover!B9)</f>
        <v/>
      </c>
      <c r="C17" s="12" t="str">
        <f t="shared" ca="1" si="1"/>
        <v/>
      </c>
      <c r="D17" s="12" t="str">
        <f t="shared" ca="1" si="2"/>
        <v/>
      </c>
      <c r="E17" s="240" t="str">
        <f t="shared" ca="1" si="3"/>
        <v/>
      </c>
      <c r="F17" s="13" t="str">
        <f t="shared" ca="1" si="4"/>
        <v/>
      </c>
      <c r="G17" s="13" t="str">
        <f t="shared" ca="1" si="5"/>
        <v/>
      </c>
      <c r="H17" s="14" t="str">
        <f t="shared" ca="1" si="6"/>
        <v/>
      </c>
      <c r="I17" s="15" t="s">
        <v>105</v>
      </c>
      <c r="J17" s="16">
        <v>0</v>
      </c>
      <c r="K17" s="16">
        <v>0</v>
      </c>
      <c r="L17" s="16">
        <v>0</v>
      </c>
      <c r="M17" s="12" t="str">
        <f t="shared" ca="1" si="7"/>
        <v/>
      </c>
      <c r="N17" s="12" t="str">
        <f t="shared" ca="1" si="8"/>
        <v/>
      </c>
      <c r="O17" s="12" t="str">
        <f t="shared" ca="1" si="30"/>
        <v/>
      </c>
      <c r="P17" s="16">
        <v>0</v>
      </c>
      <c r="Q17" s="312" t="str">
        <f t="shared" ca="1" si="10"/>
        <v/>
      </c>
      <c r="R17" s="241" t="str">
        <f t="shared" ca="1" si="11"/>
        <v/>
      </c>
      <c r="S17" s="312" t="str">
        <f t="shared" ca="1" si="12"/>
        <v/>
      </c>
      <c r="T17" s="241" t="str">
        <f t="shared" ca="1" si="13"/>
        <v/>
      </c>
      <c r="U17" s="312" t="str">
        <f t="shared" ca="1" si="14"/>
        <v/>
      </c>
      <c r="V17" s="241" t="str">
        <f t="shared" ca="1" si="15"/>
        <v/>
      </c>
      <c r="W17" s="312" t="str">
        <f t="shared" ca="1" si="16"/>
        <v/>
      </c>
      <c r="X17" s="241" t="str">
        <f t="shared" ca="1" si="17"/>
        <v/>
      </c>
      <c r="Y17" s="312" t="str">
        <f t="shared" ca="1" si="18"/>
        <v/>
      </c>
      <c r="Z17" s="241" t="str">
        <f t="shared" ca="1" si="19"/>
        <v/>
      </c>
      <c r="AA17" s="313" t="str">
        <f t="shared" ca="1" si="20"/>
        <v/>
      </c>
      <c r="AB17" s="241" t="str">
        <f t="shared" ca="1" si="21"/>
        <v/>
      </c>
      <c r="AD17" s="223" t="str">
        <f t="shared" ca="1" si="22"/>
        <v/>
      </c>
      <c r="AE17" s="223" t="str">
        <f t="shared" ca="1" si="23"/>
        <v/>
      </c>
      <c r="AF17" s="223" t="str">
        <f t="shared" ca="1" si="24"/>
        <v/>
      </c>
      <c r="AG17" s="223" t="str">
        <f t="shared" ca="1" si="25"/>
        <v/>
      </c>
      <c r="AH17" s="223" t="str">
        <f t="shared" ca="1" si="26"/>
        <v/>
      </c>
      <c r="AI17" s="223" t="str">
        <f t="shared" ca="1" si="27"/>
        <v/>
      </c>
      <c r="AJ17" s="223" t="str">
        <f t="shared" ca="1" si="28"/>
        <v/>
      </c>
      <c r="AK17" s="223" t="str">
        <f t="shared" ca="1" si="29"/>
        <v/>
      </c>
      <c r="AM17" s="251"/>
      <c r="AN17" s="117"/>
    </row>
    <row r="18" spans="1:40" x14ac:dyDescent="0.25">
      <c r="A18" s="10">
        <v>6</v>
      </c>
      <c r="B18" s="11" t="str">
        <f>IF(ISNONTEXT(Landcover!B10),"",Landcover!B10)</f>
        <v/>
      </c>
      <c r="C18" s="12" t="str">
        <f t="shared" ca="1" si="1"/>
        <v/>
      </c>
      <c r="D18" s="12" t="str">
        <f t="shared" ca="1" si="2"/>
        <v/>
      </c>
      <c r="E18" s="240" t="str">
        <f t="shared" ca="1" si="3"/>
        <v/>
      </c>
      <c r="F18" s="13" t="str">
        <f t="shared" ca="1" si="4"/>
        <v/>
      </c>
      <c r="G18" s="13" t="str">
        <f t="shared" ca="1" si="5"/>
        <v/>
      </c>
      <c r="H18" s="14" t="str">
        <f t="shared" ca="1" si="6"/>
        <v/>
      </c>
      <c r="I18" s="15" t="s">
        <v>105</v>
      </c>
      <c r="J18" s="16">
        <v>0</v>
      </c>
      <c r="K18" s="16">
        <v>0</v>
      </c>
      <c r="L18" s="16">
        <v>0</v>
      </c>
      <c r="M18" s="12" t="str">
        <f t="shared" ca="1" si="7"/>
        <v/>
      </c>
      <c r="N18" s="12" t="str">
        <f t="shared" ca="1" si="8"/>
        <v/>
      </c>
      <c r="O18" s="12" t="str">
        <f t="shared" ca="1" si="30"/>
        <v/>
      </c>
      <c r="P18" s="16">
        <v>0</v>
      </c>
      <c r="Q18" s="312" t="str">
        <f t="shared" ca="1" si="10"/>
        <v/>
      </c>
      <c r="R18" s="241" t="str">
        <f t="shared" ca="1" si="11"/>
        <v/>
      </c>
      <c r="S18" s="312" t="str">
        <f t="shared" ca="1" si="12"/>
        <v/>
      </c>
      <c r="T18" s="241" t="str">
        <f t="shared" ca="1" si="13"/>
        <v/>
      </c>
      <c r="U18" s="312" t="str">
        <f t="shared" ca="1" si="14"/>
        <v/>
      </c>
      <c r="V18" s="241" t="str">
        <f t="shared" ca="1" si="15"/>
        <v/>
      </c>
      <c r="W18" s="312" t="str">
        <f t="shared" ca="1" si="16"/>
        <v/>
      </c>
      <c r="X18" s="241" t="str">
        <f t="shared" ca="1" si="17"/>
        <v/>
      </c>
      <c r="Y18" s="312" t="str">
        <f t="shared" ca="1" si="18"/>
        <v/>
      </c>
      <c r="Z18" s="241" t="str">
        <f t="shared" ca="1" si="19"/>
        <v/>
      </c>
      <c r="AA18" s="313" t="str">
        <f t="shared" ca="1" si="20"/>
        <v/>
      </c>
      <c r="AB18" s="241" t="str">
        <f t="shared" ca="1" si="21"/>
        <v/>
      </c>
      <c r="AD18" s="223" t="str">
        <f t="shared" ca="1" si="22"/>
        <v/>
      </c>
      <c r="AE18" s="223" t="str">
        <f t="shared" ca="1" si="23"/>
        <v/>
      </c>
      <c r="AF18" s="223" t="str">
        <f t="shared" ca="1" si="24"/>
        <v/>
      </c>
      <c r="AG18" s="223" t="str">
        <f t="shared" ca="1" si="25"/>
        <v/>
      </c>
      <c r="AH18" s="223" t="str">
        <f t="shared" ca="1" si="26"/>
        <v/>
      </c>
      <c r="AI18" s="223" t="str">
        <f t="shared" ca="1" si="27"/>
        <v/>
      </c>
      <c r="AJ18" s="223" t="str">
        <f t="shared" ca="1" si="28"/>
        <v/>
      </c>
      <c r="AK18" s="223" t="str">
        <f t="shared" ca="1" si="29"/>
        <v/>
      </c>
      <c r="AM18" s="251"/>
      <c r="AN18" s="117"/>
    </row>
    <row r="19" spans="1:40" x14ac:dyDescent="0.25">
      <c r="A19" s="10">
        <v>7</v>
      </c>
      <c r="B19" s="11" t="str">
        <f>IF(ISNONTEXT(Landcover!B11),"",Landcover!B11)</f>
        <v/>
      </c>
      <c r="C19" s="12" t="str">
        <f t="shared" ca="1" si="1"/>
        <v/>
      </c>
      <c r="D19" s="12" t="str">
        <f t="shared" ca="1" si="2"/>
        <v/>
      </c>
      <c r="E19" s="240" t="str">
        <f t="shared" ca="1" si="3"/>
        <v/>
      </c>
      <c r="F19" s="13" t="str">
        <f t="shared" ca="1" si="4"/>
        <v/>
      </c>
      <c r="G19" s="13" t="str">
        <f t="shared" ca="1" si="5"/>
        <v/>
      </c>
      <c r="H19" s="14" t="str">
        <f t="shared" ca="1" si="6"/>
        <v/>
      </c>
      <c r="I19" s="15" t="s">
        <v>105</v>
      </c>
      <c r="J19" s="16">
        <v>0</v>
      </c>
      <c r="K19" s="16">
        <v>0</v>
      </c>
      <c r="L19" s="16">
        <v>0</v>
      </c>
      <c r="M19" s="12" t="str">
        <f t="shared" ca="1" si="7"/>
        <v/>
      </c>
      <c r="N19" s="12" t="str">
        <f t="shared" ca="1" si="8"/>
        <v/>
      </c>
      <c r="O19" s="12" t="str">
        <f t="shared" ca="1" si="30"/>
        <v/>
      </c>
      <c r="P19" s="16">
        <v>0</v>
      </c>
      <c r="Q19" s="312" t="str">
        <f t="shared" ca="1" si="10"/>
        <v/>
      </c>
      <c r="R19" s="241" t="str">
        <f t="shared" ca="1" si="11"/>
        <v/>
      </c>
      <c r="S19" s="312" t="str">
        <f t="shared" ca="1" si="12"/>
        <v/>
      </c>
      <c r="T19" s="241" t="str">
        <f t="shared" ca="1" si="13"/>
        <v/>
      </c>
      <c r="U19" s="312" t="str">
        <f t="shared" ca="1" si="14"/>
        <v/>
      </c>
      <c r="V19" s="241" t="str">
        <f t="shared" ca="1" si="15"/>
        <v/>
      </c>
      <c r="W19" s="312" t="str">
        <f t="shared" ca="1" si="16"/>
        <v/>
      </c>
      <c r="X19" s="241" t="str">
        <f t="shared" ca="1" si="17"/>
        <v/>
      </c>
      <c r="Y19" s="312" t="str">
        <f t="shared" ca="1" si="18"/>
        <v/>
      </c>
      <c r="Z19" s="241" t="str">
        <f t="shared" ca="1" si="19"/>
        <v/>
      </c>
      <c r="AA19" s="313" t="str">
        <f t="shared" ca="1" si="20"/>
        <v/>
      </c>
      <c r="AB19" s="241" t="str">
        <f t="shared" ca="1" si="21"/>
        <v/>
      </c>
      <c r="AD19" s="223" t="str">
        <f t="shared" ca="1" si="22"/>
        <v/>
      </c>
      <c r="AE19" s="223" t="str">
        <f t="shared" ca="1" si="23"/>
        <v/>
      </c>
      <c r="AF19" s="223" t="str">
        <f t="shared" ca="1" si="24"/>
        <v/>
      </c>
      <c r="AG19" s="223" t="str">
        <f t="shared" ca="1" si="25"/>
        <v/>
      </c>
      <c r="AH19" s="223" t="str">
        <f t="shared" ca="1" si="26"/>
        <v/>
      </c>
      <c r="AI19" s="223" t="str">
        <f t="shared" ca="1" si="27"/>
        <v/>
      </c>
      <c r="AJ19" s="223" t="str">
        <f t="shared" ca="1" si="28"/>
        <v/>
      </c>
      <c r="AK19" s="223" t="str">
        <f t="shared" ca="1" si="29"/>
        <v/>
      </c>
      <c r="AM19" s="251"/>
      <c r="AN19" s="117"/>
    </row>
    <row r="20" spans="1:40" x14ac:dyDescent="0.25">
      <c r="A20" s="10">
        <v>8</v>
      </c>
      <c r="B20" s="11" t="str">
        <f>IF(ISNONTEXT(Landcover!B12),"",Landcover!B12)</f>
        <v/>
      </c>
      <c r="C20" s="12" t="str">
        <f t="shared" ca="1" si="1"/>
        <v/>
      </c>
      <c r="D20" s="12" t="str">
        <f t="shared" ca="1" si="2"/>
        <v/>
      </c>
      <c r="E20" s="240" t="str">
        <f t="shared" ca="1" si="3"/>
        <v/>
      </c>
      <c r="F20" s="13" t="str">
        <f t="shared" ca="1" si="4"/>
        <v/>
      </c>
      <c r="G20" s="13" t="str">
        <f t="shared" ca="1" si="5"/>
        <v/>
      </c>
      <c r="H20" s="14" t="str">
        <f t="shared" ca="1" si="6"/>
        <v/>
      </c>
      <c r="I20" s="15" t="s">
        <v>105</v>
      </c>
      <c r="J20" s="16">
        <v>0</v>
      </c>
      <c r="K20" s="16">
        <v>0</v>
      </c>
      <c r="L20" s="16">
        <v>0</v>
      </c>
      <c r="M20" s="12" t="str">
        <f t="shared" ca="1" si="7"/>
        <v/>
      </c>
      <c r="N20" s="12" t="str">
        <f t="shared" ca="1" si="8"/>
        <v/>
      </c>
      <c r="O20" s="12" t="str">
        <f t="shared" ca="1" si="30"/>
        <v/>
      </c>
      <c r="P20" s="16">
        <v>0</v>
      </c>
      <c r="Q20" s="312" t="str">
        <f t="shared" ca="1" si="10"/>
        <v/>
      </c>
      <c r="R20" s="241" t="str">
        <f t="shared" ca="1" si="11"/>
        <v/>
      </c>
      <c r="S20" s="312" t="str">
        <f t="shared" ca="1" si="12"/>
        <v/>
      </c>
      <c r="T20" s="241" t="str">
        <f t="shared" ca="1" si="13"/>
        <v/>
      </c>
      <c r="U20" s="312" t="str">
        <f t="shared" ca="1" si="14"/>
        <v/>
      </c>
      <c r="V20" s="241" t="str">
        <f t="shared" ca="1" si="15"/>
        <v/>
      </c>
      <c r="W20" s="312" t="str">
        <f t="shared" ca="1" si="16"/>
        <v/>
      </c>
      <c r="X20" s="241" t="str">
        <f t="shared" ca="1" si="17"/>
        <v/>
      </c>
      <c r="Y20" s="312" t="str">
        <f t="shared" ca="1" si="18"/>
        <v/>
      </c>
      <c r="Z20" s="241" t="str">
        <f t="shared" ca="1" si="19"/>
        <v/>
      </c>
      <c r="AA20" s="313" t="str">
        <f t="shared" ca="1" si="20"/>
        <v/>
      </c>
      <c r="AB20" s="241" t="str">
        <f t="shared" ca="1" si="21"/>
        <v/>
      </c>
      <c r="AD20" s="223" t="str">
        <f t="shared" ca="1" si="22"/>
        <v/>
      </c>
      <c r="AE20" s="223" t="str">
        <f t="shared" ca="1" si="23"/>
        <v/>
      </c>
      <c r="AF20" s="223" t="str">
        <f t="shared" ca="1" si="24"/>
        <v/>
      </c>
      <c r="AG20" s="223" t="str">
        <f t="shared" ca="1" si="25"/>
        <v/>
      </c>
      <c r="AH20" s="223" t="str">
        <f t="shared" ca="1" si="26"/>
        <v/>
      </c>
      <c r="AI20" s="223" t="str">
        <f t="shared" ca="1" si="27"/>
        <v/>
      </c>
      <c r="AJ20" s="223" t="str">
        <f t="shared" ca="1" si="28"/>
        <v/>
      </c>
      <c r="AK20" s="223" t="str">
        <f t="shared" ca="1" si="29"/>
        <v/>
      </c>
      <c r="AM20" s="251"/>
      <c r="AN20" s="117"/>
    </row>
    <row r="21" spans="1:40" x14ac:dyDescent="0.25">
      <c r="A21" s="10">
        <v>9</v>
      </c>
      <c r="B21" s="11" t="str">
        <f>IF(ISNONTEXT(Landcover!B13),"",Landcover!B13)</f>
        <v/>
      </c>
      <c r="C21" s="12" t="str">
        <f t="shared" ca="1" si="1"/>
        <v/>
      </c>
      <c r="D21" s="12" t="str">
        <f t="shared" ca="1" si="2"/>
        <v/>
      </c>
      <c r="E21" s="240" t="str">
        <f t="shared" ca="1" si="3"/>
        <v/>
      </c>
      <c r="F21" s="13" t="str">
        <f t="shared" ca="1" si="4"/>
        <v/>
      </c>
      <c r="G21" s="13" t="str">
        <f t="shared" ca="1" si="5"/>
        <v/>
      </c>
      <c r="H21" s="14" t="str">
        <f t="shared" ca="1" si="6"/>
        <v/>
      </c>
      <c r="I21" s="15" t="s">
        <v>105</v>
      </c>
      <c r="J21" s="16">
        <v>0</v>
      </c>
      <c r="K21" s="16">
        <v>0</v>
      </c>
      <c r="L21" s="16">
        <v>0</v>
      </c>
      <c r="M21" s="12" t="str">
        <f t="shared" ca="1" si="7"/>
        <v/>
      </c>
      <c r="N21" s="12" t="str">
        <f t="shared" ca="1" si="8"/>
        <v/>
      </c>
      <c r="O21" s="12" t="str">
        <f t="shared" ca="1" si="30"/>
        <v/>
      </c>
      <c r="P21" s="16">
        <v>0</v>
      </c>
      <c r="Q21" s="312" t="str">
        <f t="shared" ca="1" si="10"/>
        <v/>
      </c>
      <c r="R21" s="241" t="str">
        <f t="shared" ca="1" si="11"/>
        <v/>
      </c>
      <c r="S21" s="312" t="str">
        <f t="shared" ca="1" si="12"/>
        <v/>
      </c>
      <c r="T21" s="241" t="str">
        <f t="shared" ca="1" si="13"/>
        <v/>
      </c>
      <c r="U21" s="312" t="str">
        <f t="shared" ca="1" si="14"/>
        <v/>
      </c>
      <c r="V21" s="241" t="str">
        <f t="shared" ca="1" si="15"/>
        <v/>
      </c>
      <c r="W21" s="312" t="str">
        <f t="shared" ca="1" si="16"/>
        <v/>
      </c>
      <c r="X21" s="241" t="str">
        <f t="shared" ca="1" si="17"/>
        <v/>
      </c>
      <c r="Y21" s="312" t="str">
        <f t="shared" ca="1" si="18"/>
        <v/>
      </c>
      <c r="Z21" s="241" t="str">
        <f t="shared" ca="1" si="19"/>
        <v/>
      </c>
      <c r="AA21" s="313" t="str">
        <f t="shared" ca="1" si="20"/>
        <v/>
      </c>
      <c r="AB21" s="241" t="str">
        <f t="shared" ca="1" si="21"/>
        <v/>
      </c>
      <c r="AD21" s="223" t="str">
        <f t="shared" ca="1" si="22"/>
        <v/>
      </c>
      <c r="AE21" s="223" t="str">
        <f t="shared" ca="1" si="23"/>
        <v/>
      </c>
      <c r="AF21" s="223" t="str">
        <f t="shared" ca="1" si="24"/>
        <v/>
      </c>
      <c r="AG21" s="223" t="str">
        <f t="shared" ca="1" si="25"/>
        <v/>
      </c>
      <c r="AH21" s="223" t="str">
        <f t="shared" ca="1" si="26"/>
        <v/>
      </c>
      <c r="AI21" s="223" t="str">
        <f t="shared" ca="1" si="27"/>
        <v/>
      </c>
      <c r="AJ21" s="223" t="str">
        <f t="shared" ca="1" si="28"/>
        <v/>
      </c>
      <c r="AK21" s="223" t="str">
        <f t="shared" ca="1" si="29"/>
        <v/>
      </c>
      <c r="AM21" s="251"/>
      <c r="AN21" s="117"/>
    </row>
    <row r="22" spans="1:40" x14ac:dyDescent="0.25">
      <c r="A22" s="10">
        <v>10</v>
      </c>
      <c r="B22" s="11" t="str">
        <f>IF(ISNONTEXT(Landcover!B14),"",Landcover!B14)</f>
        <v/>
      </c>
      <c r="C22" s="12" t="str">
        <f t="shared" ca="1" si="1"/>
        <v/>
      </c>
      <c r="D22" s="12" t="str">
        <f t="shared" ca="1" si="2"/>
        <v/>
      </c>
      <c r="E22" s="240" t="str">
        <f t="shared" ca="1" si="3"/>
        <v/>
      </c>
      <c r="F22" s="13" t="str">
        <f t="shared" ca="1" si="4"/>
        <v/>
      </c>
      <c r="G22" s="13" t="str">
        <f t="shared" ca="1" si="5"/>
        <v/>
      </c>
      <c r="H22" s="14" t="str">
        <f t="shared" ca="1" si="6"/>
        <v/>
      </c>
      <c r="I22" s="15" t="s">
        <v>105</v>
      </c>
      <c r="J22" s="16">
        <v>0</v>
      </c>
      <c r="K22" s="16">
        <v>0</v>
      </c>
      <c r="L22" s="16">
        <v>0</v>
      </c>
      <c r="M22" s="12" t="str">
        <f t="shared" ca="1" si="7"/>
        <v/>
      </c>
      <c r="N22" s="12" t="str">
        <f t="shared" ca="1" si="8"/>
        <v/>
      </c>
      <c r="O22" s="12" t="str">
        <f t="shared" ca="1" si="30"/>
        <v/>
      </c>
      <c r="P22" s="16">
        <v>0</v>
      </c>
      <c r="Q22" s="312" t="str">
        <f t="shared" ca="1" si="10"/>
        <v/>
      </c>
      <c r="R22" s="241" t="str">
        <f t="shared" ca="1" si="11"/>
        <v/>
      </c>
      <c r="S22" s="312" t="str">
        <f t="shared" ca="1" si="12"/>
        <v/>
      </c>
      <c r="T22" s="241" t="str">
        <f t="shared" ca="1" si="13"/>
        <v/>
      </c>
      <c r="U22" s="312" t="str">
        <f t="shared" ca="1" si="14"/>
        <v/>
      </c>
      <c r="V22" s="241" t="str">
        <f t="shared" ca="1" si="15"/>
        <v/>
      </c>
      <c r="W22" s="312" t="str">
        <f t="shared" ca="1" si="16"/>
        <v/>
      </c>
      <c r="X22" s="241" t="str">
        <f t="shared" ca="1" si="17"/>
        <v/>
      </c>
      <c r="Y22" s="312" t="str">
        <f t="shared" ca="1" si="18"/>
        <v/>
      </c>
      <c r="Z22" s="241" t="str">
        <f t="shared" ca="1" si="19"/>
        <v/>
      </c>
      <c r="AA22" s="313" t="str">
        <f t="shared" ca="1" si="20"/>
        <v/>
      </c>
      <c r="AB22" s="241" t="str">
        <f t="shared" ca="1" si="21"/>
        <v/>
      </c>
      <c r="AD22" s="223" t="str">
        <f t="shared" ca="1" si="22"/>
        <v/>
      </c>
      <c r="AE22" s="223" t="str">
        <f t="shared" ca="1" si="23"/>
        <v/>
      </c>
      <c r="AF22" s="223" t="str">
        <f t="shared" ca="1" si="24"/>
        <v/>
      </c>
      <c r="AG22" s="223" t="str">
        <f t="shared" ca="1" si="25"/>
        <v/>
      </c>
      <c r="AH22" s="223" t="str">
        <f t="shared" ca="1" si="26"/>
        <v/>
      </c>
      <c r="AI22" s="223" t="str">
        <f t="shared" ca="1" si="27"/>
        <v/>
      </c>
      <c r="AJ22" s="223" t="str">
        <f t="shared" ca="1" si="28"/>
        <v/>
      </c>
      <c r="AK22" s="223" t="str">
        <f t="shared" ca="1" si="29"/>
        <v/>
      </c>
      <c r="AM22" s="251"/>
      <c r="AN22" s="117"/>
    </row>
    <row r="23" spans="1:40" x14ac:dyDescent="0.25">
      <c r="A23" s="10">
        <v>11</v>
      </c>
      <c r="B23" s="11" t="str">
        <f>IF(ISNONTEXT(Landcover!B15),"",Landcover!B15)</f>
        <v/>
      </c>
      <c r="C23" s="12" t="str">
        <f t="shared" ca="1" si="1"/>
        <v/>
      </c>
      <c r="D23" s="12" t="str">
        <f t="shared" ca="1" si="2"/>
        <v/>
      </c>
      <c r="E23" s="240" t="str">
        <f t="shared" ca="1" si="3"/>
        <v/>
      </c>
      <c r="F23" s="13" t="str">
        <f t="shared" ca="1" si="4"/>
        <v/>
      </c>
      <c r="G23" s="13" t="str">
        <f t="shared" ca="1" si="5"/>
        <v/>
      </c>
      <c r="H23" s="14" t="str">
        <f t="shared" ca="1" si="6"/>
        <v/>
      </c>
      <c r="I23" s="15" t="s">
        <v>105</v>
      </c>
      <c r="J23" s="16">
        <v>0</v>
      </c>
      <c r="K23" s="16">
        <v>0</v>
      </c>
      <c r="L23" s="16">
        <v>0</v>
      </c>
      <c r="M23" s="12" t="str">
        <f t="shared" ca="1" si="7"/>
        <v/>
      </c>
      <c r="N23" s="12" t="str">
        <f t="shared" ca="1" si="8"/>
        <v/>
      </c>
      <c r="O23" s="12" t="str">
        <f t="shared" ca="1" si="30"/>
        <v/>
      </c>
      <c r="P23" s="16">
        <v>0</v>
      </c>
      <c r="Q23" s="312" t="str">
        <f t="shared" ca="1" si="10"/>
        <v/>
      </c>
      <c r="R23" s="241" t="str">
        <f t="shared" ca="1" si="11"/>
        <v/>
      </c>
      <c r="S23" s="312" t="str">
        <f t="shared" ca="1" si="12"/>
        <v/>
      </c>
      <c r="T23" s="241" t="str">
        <f t="shared" ca="1" si="13"/>
        <v/>
      </c>
      <c r="U23" s="312" t="str">
        <f t="shared" ca="1" si="14"/>
        <v/>
      </c>
      <c r="V23" s="241" t="str">
        <f t="shared" ca="1" si="15"/>
        <v/>
      </c>
      <c r="W23" s="312" t="str">
        <f t="shared" ca="1" si="16"/>
        <v/>
      </c>
      <c r="X23" s="241" t="str">
        <f t="shared" ca="1" si="17"/>
        <v/>
      </c>
      <c r="Y23" s="312" t="str">
        <f t="shared" ca="1" si="18"/>
        <v/>
      </c>
      <c r="Z23" s="241" t="str">
        <f t="shared" ca="1" si="19"/>
        <v/>
      </c>
      <c r="AA23" s="313" t="str">
        <f t="shared" ca="1" si="20"/>
        <v/>
      </c>
      <c r="AB23" s="241" t="str">
        <f t="shared" ca="1" si="21"/>
        <v/>
      </c>
      <c r="AD23" s="223" t="str">
        <f ca="1">IFERROR(INDIRECT($A23&amp;"!d16"),"")</f>
        <v/>
      </c>
      <c r="AE23" s="223" t="str">
        <f t="shared" ca="1" si="23"/>
        <v/>
      </c>
      <c r="AF23" s="223" t="str">
        <f t="shared" ca="1" si="24"/>
        <v/>
      </c>
      <c r="AG23" s="223" t="str">
        <f t="shared" ca="1" si="25"/>
        <v/>
      </c>
      <c r="AH23" s="223" t="str">
        <f t="shared" ca="1" si="26"/>
        <v/>
      </c>
      <c r="AI23" s="223" t="str">
        <f t="shared" ca="1" si="27"/>
        <v/>
      </c>
      <c r="AJ23" s="223" t="str">
        <f t="shared" ca="1" si="28"/>
        <v/>
      </c>
      <c r="AK23" s="223" t="str">
        <f t="shared" ca="1" si="29"/>
        <v/>
      </c>
    </row>
    <row r="24" spans="1:40" x14ac:dyDescent="0.25">
      <c r="A24" s="10">
        <v>12</v>
      </c>
      <c r="B24" s="11" t="str">
        <f>IF(ISNONTEXT(Landcover!B16),"",Landcover!B16)</f>
        <v/>
      </c>
      <c r="C24" s="12" t="str">
        <f t="shared" ca="1" si="1"/>
        <v/>
      </c>
      <c r="D24" s="12" t="str">
        <f t="shared" ca="1" si="2"/>
        <v/>
      </c>
      <c r="E24" s="240" t="str">
        <f t="shared" ca="1" si="3"/>
        <v/>
      </c>
      <c r="F24" s="13" t="str">
        <f t="shared" ca="1" si="4"/>
        <v/>
      </c>
      <c r="G24" s="13" t="str">
        <f t="shared" ca="1" si="5"/>
        <v/>
      </c>
      <c r="H24" s="14" t="str">
        <f t="shared" ca="1" si="6"/>
        <v/>
      </c>
      <c r="I24" s="15" t="s">
        <v>105</v>
      </c>
      <c r="J24" s="16">
        <v>0</v>
      </c>
      <c r="K24" s="16">
        <v>0</v>
      </c>
      <c r="L24" s="16">
        <v>0</v>
      </c>
      <c r="M24" s="12" t="str">
        <f t="shared" ca="1" si="7"/>
        <v/>
      </c>
      <c r="N24" s="12" t="str">
        <f t="shared" ca="1" si="8"/>
        <v/>
      </c>
      <c r="O24" s="12" t="str">
        <f t="shared" ca="1" si="30"/>
        <v/>
      </c>
      <c r="P24" s="16">
        <v>0</v>
      </c>
      <c r="Q24" s="312" t="str">
        <f t="shared" ca="1" si="10"/>
        <v/>
      </c>
      <c r="R24" s="241" t="str">
        <f t="shared" ca="1" si="11"/>
        <v/>
      </c>
      <c r="S24" s="312" t="str">
        <f t="shared" ca="1" si="12"/>
        <v/>
      </c>
      <c r="T24" s="241" t="str">
        <f t="shared" ca="1" si="13"/>
        <v/>
      </c>
      <c r="U24" s="312" t="str">
        <f t="shared" ca="1" si="14"/>
        <v/>
      </c>
      <c r="V24" s="241" t="str">
        <f t="shared" ca="1" si="15"/>
        <v/>
      </c>
      <c r="W24" s="312" t="str">
        <f t="shared" ca="1" si="16"/>
        <v/>
      </c>
      <c r="X24" s="241" t="str">
        <f t="shared" ca="1" si="17"/>
        <v/>
      </c>
      <c r="Y24" s="312" t="str">
        <f t="shared" ca="1" si="18"/>
        <v/>
      </c>
      <c r="Z24" s="241" t="str">
        <f t="shared" ca="1" si="19"/>
        <v/>
      </c>
      <c r="AA24" s="313" t="str">
        <f t="shared" ca="1" si="20"/>
        <v/>
      </c>
      <c r="AB24" s="241" t="str">
        <f t="shared" ca="1" si="21"/>
        <v/>
      </c>
      <c r="AD24" s="223" t="str">
        <f t="shared" ca="1" si="22"/>
        <v/>
      </c>
      <c r="AE24" s="223" t="str">
        <f t="shared" ca="1" si="23"/>
        <v/>
      </c>
      <c r="AF24" s="223" t="str">
        <f t="shared" ca="1" si="24"/>
        <v/>
      </c>
      <c r="AG24" s="223" t="str">
        <f t="shared" ca="1" si="25"/>
        <v/>
      </c>
      <c r="AH24" s="223" t="str">
        <f t="shared" ca="1" si="26"/>
        <v/>
      </c>
      <c r="AI24" s="223" t="str">
        <f t="shared" ca="1" si="27"/>
        <v/>
      </c>
      <c r="AJ24" s="223" t="str">
        <f t="shared" ca="1" si="28"/>
        <v/>
      </c>
      <c r="AK24" s="223" t="str">
        <f t="shared" ca="1" si="29"/>
        <v/>
      </c>
    </row>
    <row r="25" spans="1:40" x14ac:dyDescent="0.25">
      <c r="A25" s="10">
        <v>13</v>
      </c>
      <c r="B25" s="11" t="str">
        <f>IF(ISNONTEXT(Landcover!B17),"",Landcover!B17)</f>
        <v/>
      </c>
      <c r="C25" s="12" t="str">
        <f t="shared" ca="1" si="1"/>
        <v/>
      </c>
      <c r="D25" s="12" t="str">
        <f t="shared" ca="1" si="2"/>
        <v/>
      </c>
      <c r="E25" s="240" t="str">
        <f t="shared" ca="1" si="3"/>
        <v/>
      </c>
      <c r="F25" s="13" t="str">
        <f t="shared" ca="1" si="4"/>
        <v/>
      </c>
      <c r="G25" s="13" t="str">
        <f t="shared" ca="1" si="5"/>
        <v/>
      </c>
      <c r="H25" s="14" t="str">
        <f t="shared" ca="1" si="6"/>
        <v/>
      </c>
      <c r="I25" s="15" t="s">
        <v>105</v>
      </c>
      <c r="J25" s="16">
        <v>0</v>
      </c>
      <c r="K25" s="16">
        <v>0</v>
      </c>
      <c r="L25" s="16">
        <v>0</v>
      </c>
      <c r="M25" s="12" t="str">
        <f t="shared" ca="1" si="7"/>
        <v/>
      </c>
      <c r="N25" s="12" t="str">
        <f t="shared" ca="1" si="8"/>
        <v/>
      </c>
      <c r="O25" s="12" t="str">
        <f t="shared" ca="1" si="30"/>
        <v/>
      </c>
      <c r="P25" s="16">
        <v>0</v>
      </c>
      <c r="Q25" s="312" t="str">
        <f t="shared" ca="1" si="10"/>
        <v/>
      </c>
      <c r="R25" s="241" t="str">
        <f t="shared" ca="1" si="11"/>
        <v/>
      </c>
      <c r="S25" s="312" t="str">
        <f t="shared" ca="1" si="12"/>
        <v/>
      </c>
      <c r="T25" s="241" t="str">
        <f t="shared" ca="1" si="13"/>
        <v/>
      </c>
      <c r="U25" s="312" t="str">
        <f t="shared" ca="1" si="14"/>
        <v/>
      </c>
      <c r="V25" s="241" t="str">
        <f t="shared" ca="1" si="15"/>
        <v/>
      </c>
      <c r="W25" s="312" t="str">
        <f t="shared" ca="1" si="16"/>
        <v/>
      </c>
      <c r="X25" s="241" t="str">
        <f t="shared" ca="1" si="17"/>
        <v/>
      </c>
      <c r="Y25" s="312" t="str">
        <f t="shared" ca="1" si="18"/>
        <v/>
      </c>
      <c r="Z25" s="241" t="str">
        <f t="shared" ca="1" si="19"/>
        <v/>
      </c>
      <c r="AA25" s="313" t="str">
        <f t="shared" ca="1" si="20"/>
        <v/>
      </c>
      <c r="AB25" s="241" t="str">
        <f t="shared" ca="1" si="21"/>
        <v/>
      </c>
      <c r="AD25" s="223" t="str">
        <f t="shared" ca="1" si="22"/>
        <v/>
      </c>
      <c r="AE25" s="223" t="str">
        <f t="shared" ca="1" si="23"/>
        <v/>
      </c>
      <c r="AF25" s="223" t="str">
        <f t="shared" ca="1" si="24"/>
        <v/>
      </c>
      <c r="AG25" s="223" t="str">
        <f t="shared" ca="1" si="25"/>
        <v/>
      </c>
      <c r="AH25" s="223" t="str">
        <f t="shared" ca="1" si="26"/>
        <v/>
      </c>
      <c r="AI25" s="223" t="str">
        <f t="shared" ca="1" si="27"/>
        <v/>
      </c>
      <c r="AJ25" s="223" t="str">
        <f t="shared" ca="1" si="28"/>
        <v/>
      </c>
      <c r="AK25" s="223" t="str">
        <f t="shared" ca="1" si="29"/>
        <v/>
      </c>
    </row>
    <row r="26" spans="1:40" x14ac:dyDescent="0.25">
      <c r="A26" s="10">
        <v>14</v>
      </c>
      <c r="B26" s="11" t="str">
        <f>IF(ISNONTEXT(Landcover!B18),"",Landcover!B18)</f>
        <v/>
      </c>
      <c r="C26" s="12" t="str">
        <f t="shared" ca="1" si="1"/>
        <v/>
      </c>
      <c r="D26" s="12" t="str">
        <f t="shared" ca="1" si="2"/>
        <v/>
      </c>
      <c r="E26" s="240" t="str">
        <f t="shared" ca="1" si="3"/>
        <v/>
      </c>
      <c r="F26" s="13" t="str">
        <f t="shared" ca="1" si="4"/>
        <v/>
      </c>
      <c r="G26" s="13" t="str">
        <f t="shared" ca="1" si="5"/>
        <v/>
      </c>
      <c r="H26" s="14" t="str">
        <f t="shared" ca="1" si="6"/>
        <v/>
      </c>
      <c r="I26" s="15" t="s">
        <v>105</v>
      </c>
      <c r="J26" s="16">
        <v>0</v>
      </c>
      <c r="K26" s="16">
        <v>0</v>
      </c>
      <c r="L26" s="16">
        <v>0</v>
      </c>
      <c r="M26" s="12" t="str">
        <f t="shared" ca="1" si="7"/>
        <v/>
      </c>
      <c r="N26" s="12" t="str">
        <f t="shared" ca="1" si="8"/>
        <v/>
      </c>
      <c r="O26" s="12" t="str">
        <f t="shared" ca="1" si="30"/>
        <v/>
      </c>
      <c r="P26" s="16">
        <v>0</v>
      </c>
      <c r="Q26" s="312" t="str">
        <f t="shared" ca="1" si="10"/>
        <v/>
      </c>
      <c r="R26" s="241" t="str">
        <f t="shared" ca="1" si="11"/>
        <v/>
      </c>
      <c r="S26" s="312" t="str">
        <f t="shared" ca="1" si="12"/>
        <v/>
      </c>
      <c r="T26" s="241" t="str">
        <f t="shared" ca="1" si="13"/>
        <v/>
      </c>
      <c r="U26" s="312" t="str">
        <f t="shared" ca="1" si="14"/>
        <v/>
      </c>
      <c r="V26" s="241" t="str">
        <f t="shared" ca="1" si="15"/>
        <v/>
      </c>
      <c r="W26" s="312" t="str">
        <f t="shared" ca="1" si="16"/>
        <v/>
      </c>
      <c r="X26" s="241" t="str">
        <f t="shared" ca="1" si="17"/>
        <v/>
      </c>
      <c r="Y26" s="312" t="str">
        <f t="shared" ca="1" si="18"/>
        <v/>
      </c>
      <c r="Z26" s="241" t="str">
        <f t="shared" ca="1" si="19"/>
        <v/>
      </c>
      <c r="AA26" s="313" t="str">
        <f t="shared" ca="1" si="20"/>
        <v/>
      </c>
      <c r="AB26" s="241" t="str">
        <f t="shared" ca="1" si="21"/>
        <v/>
      </c>
      <c r="AD26" s="223" t="str">
        <f t="shared" ca="1" si="22"/>
        <v/>
      </c>
      <c r="AE26" s="223" t="str">
        <f t="shared" ca="1" si="23"/>
        <v/>
      </c>
      <c r="AF26" s="223" t="str">
        <f t="shared" ca="1" si="24"/>
        <v/>
      </c>
      <c r="AG26" s="223" t="str">
        <f t="shared" ca="1" si="25"/>
        <v/>
      </c>
      <c r="AH26" s="223" t="str">
        <f t="shared" ca="1" si="26"/>
        <v/>
      </c>
      <c r="AI26" s="223" t="str">
        <f t="shared" ca="1" si="27"/>
        <v/>
      </c>
      <c r="AJ26" s="223" t="str">
        <f t="shared" ca="1" si="28"/>
        <v/>
      </c>
      <c r="AK26" s="223" t="str">
        <f t="shared" ca="1" si="29"/>
        <v/>
      </c>
    </row>
    <row r="27" spans="1:40" x14ac:dyDescent="0.25">
      <c r="A27" s="10">
        <v>15</v>
      </c>
      <c r="B27" s="11" t="str">
        <f>IF(ISNONTEXT(Landcover!B19),"",Landcover!B19)</f>
        <v/>
      </c>
      <c r="C27" s="12" t="str">
        <f t="shared" ca="1" si="1"/>
        <v/>
      </c>
      <c r="D27" s="12" t="str">
        <f t="shared" ca="1" si="2"/>
        <v/>
      </c>
      <c r="E27" s="240" t="str">
        <f t="shared" ca="1" si="3"/>
        <v/>
      </c>
      <c r="F27" s="13" t="str">
        <f t="shared" ca="1" si="4"/>
        <v/>
      </c>
      <c r="G27" s="13" t="str">
        <f t="shared" ca="1" si="5"/>
        <v/>
      </c>
      <c r="H27" s="14" t="str">
        <f t="shared" ca="1" si="6"/>
        <v/>
      </c>
      <c r="I27" s="15" t="s">
        <v>105</v>
      </c>
      <c r="J27" s="16">
        <v>0</v>
      </c>
      <c r="K27" s="16">
        <v>0</v>
      </c>
      <c r="L27" s="16">
        <v>0</v>
      </c>
      <c r="M27" s="12" t="str">
        <f t="shared" ca="1" si="7"/>
        <v/>
      </c>
      <c r="N27" s="12" t="str">
        <f t="shared" ca="1" si="8"/>
        <v/>
      </c>
      <c r="O27" s="12" t="str">
        <f t="shared" ca="1" si="30"/>
        <v/>
      </c>
      <c r="P27" s="16">
        <v>0</v>
      </c>
      <c r="Q27" s="312" t="str">
        <f t="shared" ca="1" si="10"/>
        <v/>
      </c>
      <c r="R27" s="241" t="str">
        <f t="shared" ca="1" si="11"/>
        <v/>
      </c>
      <c r="S27" s="312" t="str">
        <f t="shared" ca="1" si="12"/>
        <v/>
      </c>
      <c r="T27" s="241" t="str">
        <f t="shared" ca="1" si="13"/>
        <v/>
      </c>
      <c r="U27" s="312" t="str">
        <f t="shared" ca="1" si="14"/>
        <v/>
      </c>
      <c r="V27" s="241" t="str">
        <f t="shared" ca="1" si="15"/>
        <v/>
      </c>
      <c r="W27" s="312" t="str">
        <f t="shared" ca="1" si="16"/>
        <v/>
      </c>
      <c r="X27" s="241" t="str">
        <f t="shared" ca="1" si="17"/>
        <v/>
      </c>
      <c r="Y27" s="312" t="str">
        <f t="shared" ca="1" si="18"/>
        <v/>
      </c>
      <c r="Z27" s="241" t="str">
        <f t="shared" ca="1" si="19"/>
        <v/>
      </c>
      <c r="AA27" s="313" t="str">
        <f t="shared" ca="1" si="20"/>
        <v/>
      </c>
      <c r="AB27" s="241" t="str">
        <f t="shared" ca="1" si="21"/>
        <v/>
      </c>
      <c r="AD27" s="223" t="str">
        <f t="shared" ca="1" si="22"/>
        <v/>
      </c>
      <c r="AE27" s="223" t="str">
        <f t="shared" ca="1" si="23"/>
        <v/>
      </c>
      <c r="AF27" s="223" t="str">
        <f t="shared" ca="1" si="24"/>
        <v/>
      </c>
      <c r="AG27" s="223" t="str">
        <f t="shared" ca="1" si="25"/>
        <v/>
      </c>
      <c r="AH27" s="223" t="str">
        <f t="shared" ca="1" si="26"/>
        <v/>
      </c>
      <c r="AI27" s="223" t="str">
        <f t="shared" ca="1" si="27"/>
        <v/>
      </c>
      <c r="AJ27" s="223" t="str">
        <f t="shared" ca="1" si="28"/>
        <v/>
      </c>
      <c r="AK27" s="223" t="str">
        <f t="shared" ca="1" si="29"/>
        <v/>
      </c>
    </row>
    <row r="28" spans="1:40" x14ac:dyDescent="0.25">
      <c r="A28" s="10">
        <v>16</v>
      </c>
      <c r="B28" s="11" t="str">
        <f>IF(ISNONTEXT(Landcover!B20),"",Landcover!B20)</f>
        <v/>
      </c>
      <c r="C28" s="12" t="str">
        <f t="shared" ca="1" si="1"/>
        <v/>
      </c>
      <c r="D28" s="12" t="str">
        <f t="shared" ca="1" si="2"/>
        <v/>
      </c>
      <c r="E28" s="240" t="str">
        <f t="shared" ca="1" si="3"/>
        <v/>
      </c>
      <c r="F28" s="13" t="str">
        <f t="shared" ca="1" si="4"/>
        <v/>
      </c>
      <c r="G28" s="13" t="str">
        <f t="shared" ca="1" si="5"/>
        <v/>
      </c>
      <c r="H28" s="14" t="str">
        <f t="shared" ca="1" si="6"/>
        <v/>
      </c>
      <c r="I28" s="15" t="s">
        <v>105</v>
      </c>
      <c r="J28" s="16">
        <v>0</v>
      </c>
      <c r="K28" s="16">
        <v>0</v>
      </c>
      <c r="L28" s="16">
        <v>0</v>
      </c>
      <c r="M28" s="12" t="str">
        <f t="shared" ca="1" si="7"/>
        <v/>
      </c>
      <c r="N28" s="12" t="str">
        <f t="shared" ca="1" si="8"/>
        <v/>
      </c>
      <c r="O28" s="12" t="str">
        <f t="shared" ca="1" si="30"/>
        <v/>
      </c>
      <c r="P28" s="16">
        <v>0</v>
      </c>
      <c r="Q28" s="312" t="str">
        <f t="shared" ca="1" si="10"/>
        <v/>
      </c>
      <c r="R28" s="241" t="str">
        <f t="shared" ca="1" si="11"/>
        <v/>
      </c>
      <c r="S28" s="312" t="str">
        <f t="shared" ca="1" si="12"/>
        <v/>
      </c>
      <c r="T28" s="241" t="str">
        <f t="shared" ca="1" si="13"/>
        <v/>
      </c>
      <c r="U28" s="312" t="str">
        <f t="shared" ca="1" si="14"/>
        <v/>
      </c>
      <c r="V28" s="241" t="str">
        <f t="shared" ca="1" si="15"/>
        <v/>
      </c>
      <c r="W28" s="312" t="str">
        <f t="shared" ca="1" si="16"/>
        <v/>
      </c>
      <c r="X28" s="241" t="str">
        <f t="shared" ca="1" si="17"/>
        <v/>
      </c>
      <c r="Y28" s="312" t="str">
        <f t="shared" ca="1" si="18"/>
        <v/>
      </c>
      <c r="Z28" s="241" t="str">
        <f t="shared" ca="1" si="19"/>
        <v/>
      </c>
      <c r="AA28" s="313" t="str">
        <f t="shared" ca="1" si="20"/>
        <v/>
      </c>
      <c r="AB28" s="241" t="str">
        <f t="shared" ca="1" si="21"/>
        <v/>
      </c>
      <c r="AD28" s="223" t="str">
        <f t="shared" ca="1" si="22"/>
        <v/>
      </c>
      <c r="AE28" s="223" t="str">
        <f t="shared" ca="1" si="23"/>
        <v/>
      </c>
      <c r="AF28" s="223" t="str">
        <f t="shared" ca="1" si="24"/>
        <v/>
      </c>
      <c r="AG28" s="223" t="str">
        <f t="shared" ca="1" si="25"/>
        <v/>
      </c>
      <c r="AH28" s="223" t="str">
        <f t="shared" ca="1" si="26"/>
        <v/>
      </c>
      <c r="AI28" s="223" t="str">
        <f t="shared" ca="1" si="27"/>
        <v/>
      </c>
      <c r="AJ28" s="223" t="str">
        <f t="shared" ca="1" si="28"/>
        <v/>
      </c>
      <c r="AK28" s="223" t="str">
        <f t="shared" ca="1" si="29"/>
        <v/>
      </c>
    </row>
    <row r="29" spans="1:40" x14ac:dyDescent="0.25">
      <c r="A29" s="10">
        <v>17</v>
      </c>
      <c r="B29" s="11" t="str">
        <f>IF(ISNONTEXT(Landcover!B21),"",Landcover!B21)</f>
        <v/>
      </c>
      <c r="C29" s="12" t="str">
        <f t="shared" ca="1" si="1"/>
        <v/>
      </c>
      <c r="D29" s="12" t="str">
        <f t="shared" ca="1" si="2"/>
        <v/>
      </c>
      <c r="E29" s="240" t="str">
        <f t="shared" ca="1" si="3"/>
        <v/>
      </c>
      <c r="F29" s="13" t="str">
        <f t="shared" ca="1" si="4"/>
        <v/>
      </c>
      <c r="G29" s="13" t="str">
        <f t="shared" ca="1" si="5"/>
        <v/>
      </c>
      <c r="H29" s="14" t="str">
        <f t="shared" ca="1" si="6"/>
        <v/>
      </c>
      <c r="I29" s="15" t="s">
        <v>105</v>
      </c>
      <c r="J29" s="16">
        <v>0</v>
      </c>
      <c r="K29" s="16">
        <v>0</v>
      </c>
      <c r="L29" s="16">
        <v>0</v>
      </c>
      <c r="M29" s="12" t="str">
        <f t="shared" ca="1" si="7"/>
        <v/>
      </c>
      <c r="N29" s="12" t="str">
        <f t="shared" ca="1" si="8"/>
        <v/>
      </c>
      <c r="O29" s="12" t="str">
        <f t="shared" ca="1" si="30"/>
        <v/>
      </c>
      <c r="P29" s="16">
        <v>0</v>
      </c>
      <c r="Q29" s="312" t="str">
        <f t="shared" ca="1" si="10"/>
        <v/>
      </c>
      <c r="R29" s="241" t="str">
        <f t="shared" ca="1" si="11"/>
        <v/>
      </c>
      <c r="S29" s="312" t="str">
        <f t="shared" ca="1" si="12"/>
        <v/>
      </c>
      <c r="T29" s="241" t="str">
        <f t="shared" ca="1" si="13"/>
        <v/>
      </c>
      <c r="U29" s="312" t="str">
        <f t="shared" ca="1" si="14"/>
        <v/>
      </c>
      <c r="V29" s="241" t="str">
        <f t="shared" ca="1" si="15"/>
        <v/>
      </c>
      <c r="W29" s="312" t="str">
        <f t="shared" ca="1" si="16"/>
        <v/>
      </c>
      <c r="X29" s="241" t="str">
        <f t="shared" ca="1" si="17"/>
        <v/>
      </c>
      <c r="Y29" s="312" t="str">
        <f t="shared" ca="1" si="18"/>
        <v/>
      </c>
      <c r="Z29" s="241" t="str">
        <f t="shared" ca="1" si="19"/>
        <v/>
      </c>
      <c r="AA29" s="313" t="str">
        <f t="shared" ca="1" si="20"/>
        <v/>
      </c>
      <c r="AB29" s="241" t="str">
        <f t="shared" ca="1" si="21"/>
        <v/>
      </c>
      <c r="AD29" s="223" t="str">
        <f t="shared" ca="1" si="22"/>
        <v/>
      </c>
      <c r="AE29" s="223" t="str">
        <f t="shared" ca="1" si="23"/>
        <v/>
      </c>
      <c r="AF29" s="223" t="str">
        <f t="shared" ca="1" si="24"/>
        <v/>
      </c>
      <c r="AG29" s="223" t="str">
        <f t="shared" ca="1" si="25"/>
        <v/>
      </c>
      <c r="AH29" s="223" t="str">
        <f t="shared" ca="1" si="26"/>
        <v/>
      </c>
      <c r="AI29" s="223" t="str">
        <f t="shared" ca="1" si="27"/>
        <v/>
      </c>
      <c r="AJ29" s="223" t="str">
        <f t="shared" ca="1" si="28"/>
        <v/>
      </c>
      <c r="AK29" s="223" t="str">
        <f t="shared" ca="1" si="29"/>
        <v/>
      </c>
    </row>
    <row r="30" spans="1:40" x14ac:dyDescent="0.25">
      <c r="A30" s="10">
        <v>18</v>
      </c>
      <c r="B30" s="11" t="str">
        <f>IF(ISNONTEXT(Landcover!B22),"",Landcover!B22)</f>
        <v/>
      </c>
      <c r="C30" s="12" t="str">
        <f t="shared" ca="1" si="1"/>
        <v/>
      </c>
      <c r="D30" s="12" t="str">
        <f t="shared" ca="1" si="2"/>
        <v/>
      </c>
      <c r="E30" s="240" t="str">
        <f t="shared" ca="1" si="3"/>
        <v/>
      </c>
      <c r="F30" s="13" t="str">
        <f t="shared" ca="1" si="4"/>
        <v/>
      </c>
      <c r="G30" s="13" t="str">
        <f t="shared" ca="1" si="5"/>
        <v/>
      </c>
      <c r="H30" s="14" t="str">
        <f t="shared" ca="1" si="6"/>
        <v/>
      </c>
      <c r="I30" s="15" t="s">
        <v>105</v>
      </c>
      <c r="J30" s="16">
        <v>0</v>
      </c>
      <c r="K30" s="16">
        <v>0</v>
      </c>
      <c r="L30" s="16">
        <v>0</v>
      </c>
      <c r="M30" s="12" t="str">
        <f t="shared" ca="1" si="7"/>
        <v/>
      </c>
      <c r="N30" s="12" t="str">
        <f t="shared" ca="1" si="8"/>
        <v/>
      </c>
      <c r="O30" s="12" t="str">
        <f t="shared" ca="1" si="30"/>
        <v/>
      </c>
      <c r="P30" s="16">
        <v>0</v>
      </c>
      <c r="Q30" s="312" t="str">
        <f t="shared" ca="1" si="10"/>
        <v/>
      </c>
      <c r="R30" s="241" t="str">
        <f t="shared" ca="1" si="11"/>
        <v/>
      </c>
      <c r="S30" s="312" t="str">
        <f t="shared" ca="1" si="12"/>
        <v/>
      </c>
      <c r="T30" s="241" t="str">
        <f t="shared" ca="1" si="13"/>
        <v/>
      </c>
      <c r="U30" s="312" t="str">
        <f t="shared" ca="1" si="14"/>
        <v/>
      </c>
      <c r="V30" s="241" t="str">
        <f t="shared" ca="1" si="15"/>
        <v/>
      </c>
      <c r="W30" s="312" t="str">
        <f t="shared" ca="1" si="16"/>
        <v/>
      </c>
      <c r="X30" s="241" t="str">
        <f t="shared" ca="1" si="17"/>
        <v/>
      </c>
      <c r="Y30" s="312" t="str">
        <f t="shared" ca="1" si="18"/>
        <v/>
      </c>
      <c r="Z30" s="241" t="str">
        <f t="shared" ca="1" si="19"/>
        <v/>
      </c>
      <c r="AA30" s="313" t="str">
        <f t="shared" ca="1" si="20"/>
        <v/>
      </c>
      <c r="AB30" s="241" t="str">
        <f t="shared" ca="1" si="21"/>
        <v/>
      </c>
      <c r="AD30" s="223" t="str">
        <f t="shared" ca="1" si="22"/>
        <v/>
      </c>
      <c r="AE30" s="223" t="str">
        <f t="shared" ca="1" si="23"/>
        <v/>
      </c>
      <c r="AF30" s="223" t="str">
        <f t="shared" ca="1" si="24"/>
        <v/>
      </c>
      <c r="AG30" s="223" t="str">
        <f t="shared" ca="1" si="25"/>
        <v/>
      </c>
      <c r="AH30" s="223" t="str">
        <f t="shared" ca="1" si="26"/>
        <v/>
      </c>
      <c r="AI30" s="223" t="str">
        <f t="shared" ca="1" si="27"/>
        <v/>
      </c>
      <c r="AJ30" s="223" t="str">
        <f t="shared" ca="1" si="28"/>
        <v/>
      </c>
      <c r="AK30" s="223" t="str">
        <f t="shared" ca="1" si="29"/>
        <v/>
      </c>
    </row>
    <row r="31" spans="1:40" x14ac:dyDescent="0.25">
      <c r="A31" s="10">
        <v>19</v>
      </c>
      <c r="B31" s="11" t="str">
        <f>IF(ISNONTEXT(Landcover!B23),"",Landcover!B23)</f>
        <v/>
      </c>
      <c r="C31" s="12" t="str">
        <f t="shared" ca="1" si="1"/>
        <v/>
      </c>
      <c r="D31" s="12" t="str">
        <f t="shared" ca="1" si="2"/>
        <v/>
      </c>
      <c r="E31" s="240" t="str">
        <f t="shared" ca="1" si="3"/>
        <v/>
      </c>
      <c r="F31" s="13" t="str">
        <f t="shared" ca="1" si="4"/>
        <v/>
      </c>
      <c r="G31" s="13" t="str">
        <f t="shared" ca="1" si="5"/>
        <v/>
      </c>
      <c r="H31" s="14" t="str">
        <f t="shared" ca="1" si="6"/>
        <v/>
      </c>
      <c r="I31" s="15" t="s">
        <v>105</v>
      </c>
      <c r="J31" s="16">
        <v>0</v>
      </c>
      <c r="K31" s="16">
        <v>0</v>
      </c>
      <c r="L31" s="16">
        <v>0</v>
      </c>
      <c r="M31" s="12" t="str">
        <f t="shared" ca="1" si="7"/>
        <v/>
      </c>
      <c r="N31" s="12" t="str">
        <f t="shared" ca="1" si="8"/>
        <v/>
      </c>
      <c r="O31" s="12" t="str">
        <f t="shared" ca="1" si="30"/>
        <v/>
      </c>
      <c r="P31" s="16">
        <v>0</v>
      </c>
      <c r="Q31" s="312" t="str">
        <f t="shared" ca="1" si="10"/>
        <v/>
      </c>
      <c r="R31" s="241" t="str">
        <f t="shared" ca="1" si="11"/>
        <v/>
      </c>
      <c r="S31" s="312" t="str">
        <f t="shared" ca="1" si="12"/>
        <v/>
      </c>
      <c r="T31" s="241" t="str">
        <f t="shared" ca="1" si="13"/>
        <v/>
      </c>
      <c r="U31" s="312" t="str">
        <f t="shared" ca="1" si="14"/>
        <v/>
      </c>
      <c r="V31" s="241" t="str">
        <f t="shared" ca="1" si="15"/>
        <v/>
      </c>
      <c r="W31" s="312" t="str">
        <f t="shared" ca="1" si="16"/>
        <v/>
      </c>
      <c r="X31" s="241" t="str">
        <f t="shared" ca="1" si="17"/>
        <v/>
      </c>
      <c r="Y31" s="312" t="str">
        <f t="shared" ca="1" si="18"/>
        <v/>
      </c>
      <c r="Z31" s="241" t="str">
        <f t="shared" ca="1" si="19"/>
        <v/>
      </c>
      <c r="AA31" s="313" t="str">
        <f t="shared" ca="1" si="20"/>
        <v/>
      </c>
      <c r="AB31" s="241" t="str">
        <f t="shared" ca="1" si="21"/>
        <v/>
      </c>
      <c r="AD31" s="223" t="str">
        <f t="shared" ca="1" si="22"/>
        <v/>
      </c>
      <c r="AE31" s="223" t="str">
        <f t="shared" ca="1" si="23"/>
        <v/>
      </c>
      <c r="AF31" s="223" t="str">
        <f t="shared" ca="1" si="24"/>
        <v/>
      </c>
      <c r="AG31" s="223" t="str">
        <f t="shared" ca="1" si="25"/>
        <v/>
      </c>
      <c r="AH31" s="223" t="str">
        <f t="shared" ca="1" si="26"/>
        <v/>
      </c>
      <c r="AI31" s="223" t="str">
        <f t="shared" ca="1" si="27"/>
        <v/>
      </c>
      <c r="AJ31" s="223" t="str">
        <f t="shared" ca="1" si="28"/>
        <v/>
      </c>
      <c r="AK31" s="223" t="str">
        <f t="shared" ca="1" si="29"/>
        <v/>
      </c>
    </row>
    <row r="32" spans="1:40" x14ac:dyDescent="0.25">
      <c r="A32" s="10">
        <v>20</v>
      </c>
      <c r="B32" s="11" t="str">
        <f>IF(ISNONTEXT(Landcover!B24),"",Landcover!B24)</f>
        <v/>
      </c>
      <c r="C32" s="12" t="str">
        <f t="shared" ca="1" si="1"/>
        <v/>
      </c>
      <c r="D32" s="12" t="str">
        <f t="shared" ca="1" si="2"/>
        <v/>
      </c>
      <c r="E32" s="240" t="str">
        <f t="shared" ca="1" si="3"/>
        <v/>
      </c>
      <c r="F32" s="13" t="str">
        <f t="shared" ca="1" si="4"/>
        <v/>
      </c>
      <c r="G32" s="13" t="str">
        <f t="shared" ca="1" si="5"/>
        <v/>
      </c>
      <c r="H32" s="14" t="str">
        <f t="shared" ca="1" si="6"/>
        <v/>
      </c>
      <c r="I32" s="15" t="s">
        <v>105</v>
      </c>
      <c r="J32" s="16">
        <v>0</v>
      </c>
      <c r="K32" s="16">
        <v>0</v>
      </c>
      <c r="L32" s="16">
        <v>0</v>
      </c>
      <c r="M32" s="12" t="str">
        <f t="shared" ca="1" si="7"/>
        <v/>
      </c>
      <c r="N32" s="12" t="str">
        <f t="shared" ca="1" si="8"/>
        <v/>
      </c>
      <c r="O32" s="12" t="str">
        <f t="shared" ca="1" si="30"/>
        <v/>
      </c>
      <c r="P32" s="16">
        <v>0</v>
      </c>
      <c r="Q32" s="312" t="str">
        <f t="shared" ca="1" si="10"/>
        <v/>
      </c>
      <c r="R32" s="241" t="str">
        <f t="shared" ca="1" si="11"/>
        <v/>
      </c>
      <c r="S32" s="312" t="str">
        <f t="shared" ca="1" si="12"/>
        <v/>
      </c>
      <c r="T32" s="241" t="str">
        <f t="shared" ca="1" si="13"/>
        <v/>
      </c>
      <c r="U32" s="312" t="str">
        <f t="shared" ca="1" si="14"/>
        <v/>
      </c>
      <c r="V32" s="241" t="str">
        <f t="shared" ca="1" si="15"/>
        <v/>
      </c>
      <c r="W32" s="312" t="str">
        <f t="shared" ca="1" si="16"/>
        <v/>
      </c>
      <c r="X32" s="241" t="str">
        <f t="shared" ca="1" si="17"/>
        <v/>
      </c>
      <c r="Y32" s="312" t="str">
        <f t="shared" ca="1" si="18"/>
        <v/>
      </c>
      <c r="Z32" s="241" t="str">
        <f t="shared" ca="1" si="19"/>
        <v/>
      </c>
      <c r="AA32" s="313" t="str">
        <f t="shared" ca="1" si="20"/>
        <v/>
      </c>
      <c r="AB32" s="241" t="str">
        <f t="shared" ca="1" si="21"/>
        <v/>
      </c>
      <c r="AD32" s="223" t="str">
        <f t="shared" ca="1" si="22"/>
        <v/>
      </c>
      <c r="AE32" s="223" t="str">
        <f t="shared" ca="1" si="23"/>
        <v/>
      </c>
      <c r="AF32" s="223" t="str">
        <f t="shared" ca="1" si="24"/>
        <v/>
      </c>
      <c r="AG32" s="223" t="str">
        <f t="shared" ca="1" si="25"/>
        <v/>
      </c>
      <c r="AH32" s="223" t="str">
        <f t="shared" ca="1" si="26"/>
        <v/>
      </c>
      <c r="AI32" s="223" t="str">
        <f t="shared" ca="1" si="27"/>
        <v/>
      </c>
      <c r="AJ32" s="223" t="str">
        <f t="shared" ca="1" si="28"/>
        <v/>
      </c>
      <c r="AK32" s="223" t="str">
        <f t="shared" ca="1" si="29"/>
        <v/>
      </c>
    </row>
    <row r="33" spans="1:37" x14ac:dyDescent="0.25">
      <c r="A33" s="10">
        <v>21</v>
      </c>
      <c r="B33" s="11" t="str">
        <f>IF(ISNONTEXT(Landcover!B25),"",Landcover!B25)</f>
        <v/>
      </c>
      <c r="C33" s="12" t="str">
        <f t="shared" ca="1" si="1"/>
        <v/>
      </c>
      <c r="D33" s="12" t="str">
        <f t="shared" ca="1" si="2"/>
        <v/>
      </c>
      <c r="E33" s="240" t="str">
        <f t="shared" ca="1" si="3"/>
        <v/>
      </c>
      <c r="F33" s="13" t="str">
        <f t="shared" ca="1" si="4"/>
        <v/>
      </c>
      <c r="G33" s="13" t="str">
        <f t="shared" ca="1" si="5"/>
        <v/>
      </c>
      <c r="H33" s="14" t="str">
        <f t="shared" ca="1" si="6"/>
        <v/>
      </c>
      <c r="I33" s="15" t="s">
        <v>105</v>
      </c>
      <c r="J33" s="16">
        <v>0</v>
      </c>
      <c r="K33" s="16">
        <v>0</v>
      </c>
      <c r="L33" s="16">
        <v>0</v>
      </c>
      <c r="M33" s="12" t="str">
        <f t="shared" ca="1" si="7"/>
        <v/>
      </c>
      <c r="N33" s="12" t="str">
        <f t="shared" ca="1" si="8"/>
        <v/>
      </c>
      <c r="O33" s="12" t="str">
        <f t="shared" ca="1" si="30"/>
        <v/>
      </c>
      <c r="P33" s="16">
        <v>0</v>
      </c>
      <c r="Q33" s="312" t="str">
        <f t="shared" ca="1" si="10"/>
        <v/>
      </c>
      <c r="R33" s="241" t="str">
        <f t="shared" ca="1" si="11"/>
        <v/>
      </c>
      <c r="S33" s="312" t="str">
        <f t="shared" ca="1" si="12"/>
        <v/>
      </c>
      <c r="T33" s="241" t="str">
        <f t="shared" ca="1" si="13"/>
        <v/>
      </c>
      <c r="U33" s="312" t="str">
        <f t="shared" ca="1" si="14"/>
        <v/>
      </c>
      <c r="V33" s="241" t="str">
        <f t="shared" ca="1" si="15"/>
        <v/>
      </c>
      <c r="W33" s="312" t="str">
        <f t="shared" ca="1" si="16"/>
        <v/>
      </c>
      <c r="X33" s="241" t="str">
        <f t="shared" ca="1" si="17"/>
        <v/>
      </c>
      <c r="Y33" s="312" t="str">
        <f t="shared" ca="1" si="18"/>
        <v/>
      </c>
      <c r="Z33" s="241" t="str">
        <f t="shared" ca="1" si="19"/>
        <v/>
      </c>
      <c r="AA33" s="313" t="str">
        <f t="shared" ca="1" si="20"/>
        <v/>
      </c>
      <c r="AB33" s="241" t="str">
        <f t="shared" ca="1" si="21"/>
        <v/>
      </c>
      <c r="AD33" s="223" t="str">
        <f t="shared" ca="1" si="22"/>
        <v/>
      </c>
      <c r="AE33" s="223" t="str">
        <f t="shared" ca="1" si="23"/>
        <v/>
      </c>
      <c r="AF33" s="223" t="str">
        <f t="shared" ca="1" si="24"/>
        <v/>
      </c>
      <c r="AG33" s="223" t="str">
        <f t="shared" ca="1" si="25"/>
        <v/>
      </c>
      <c r="AH33" s="223" t="str">
        <f t="shared" ca="1" si="26"/>
        <v/>
      </c>
      <c r="AI33" s="223" t="str">
        <f t="shared" ca="1" si="27"/>
        <v/>
      </c>
      <c r="AJ33" s="223" t="str">
        <f t="shared" ca="1" si="28"/>
        <v/>
      </c>
      <c r="AK33" s="223" t="str">
        <f t="shared" ca="1" si="29"/>
        <v/>
      </c>
    </row>
    <row r="34" spans="1:37" x14ac:dyDescent="0.25">
      <c r="A34" s="10">
        <v>22</v>
      </c>
      <c r="B34" s="11" t="str">
        <f>IF(ISNONTEXT(Landcover!B26),"",Landcover!B26)</f>
        <v/>
      </c>
      <c r="C34" s="12" t="str">
        <f t="shared" ca="1" si="1"/>
        <v/>
      </c>
      <c r="D34" s="12" t="str">
        <f t="shared" ca="1" si="2"/>
        <v/>
      </c>
      <c r="E34" s="240" t="str">
        <f t="shared" ca="1" si="3"/>
        <v/>
      </c>
      <c r="F34" s="13" t="str">
        <f t="shared" ca="1" si="4"/>
        <v/>
      </c>
      <c r="G34" s="13" t="str">
        <f t="shared" ca="1" si="5"/>
        <v/>
      </c>
      <c r="H34" s="14" t="str">
        <f t="shared" ca="1" si="6"/>
        <v/>
      </c>
      <c r="I34" s="15" t="s">
        <v>105</v>
      </c>
      <c r="J34" s="16">
        <v>0</v>
      </c>
      <c r="K34" s="16">
        <v>0</v>
      </c>
      <c r="L34" s="16">
        <v>0</v>
      </c>
      <c r="M34" s="12" t="str">
        <f t="shared" ca="1" si="7"/>
        <v/>
      </c>
      <c r="N34" s="12" t="str">
        <f t="shared" ca="1" si="8"/>
        <v/>
      </c>
      <c r="O34" s="12" t="str">
        <f t="shared" ca="1" si="30"/>
        <v/>
      </c>
      <c r="P34" s="16">
        <v>0</v>
      </c>
      <c r="Q34" s="312" t="str">
        <f t="shared" ca="1" si="10"/>
        <v/>
      </c>
      <c r="R34" s="241" t="str">
        <f t="shared" ca="1" si="11"/>
        <v/>
      </c>
      <c r="S34" s="312" t="str">
        <f t="shared" ca="1" si="12"/>
        <v/>
      </c>
      <c r="T34" s="241" t="str">
        <f t="shared" ca="1" si="13"/>
        <v/>
      </c>
      <c r="U34" s="312" t="str">
        <f t="shared" ca="1" si="14"/>
        <v/>
      </c>
      <c r="V34" s="241" t="str">
        <f t="shared" ca="1" si="15"/>
        <v/>
      </c>
      <c r="W34" s="312" t="str">
        <f t="shared" ca="1" si="16"/>
        <v/>
      </c>
      <c r="X34" s="241" t="str">
        <f t="shared" ca="1" si="17"/>
        <v/>
      </c>
      <c r="Y34" s="312" t="str">
        <f t="shared" ca="1" si="18"/>
        <v/>
      </c>
      <c r="Z34" s="241" t="str">
        <f t="shared" ca="1" si="19"/>
        <v/>
      </c>
      <c r="AA34" s="313" t="str">
        <f t="shared" ca="1" si="20"/>
        <v/>
      </c>
      <c r="AB34" s="241" t="str">
        <f t="shared" ca="1" si="21"/>
        <v/>
      </c>
      <c r="AD34" s="223" t="str">
        <f t="shared" ca="1" si="22"/>
        <v/>
      </c>
      <c r="AE34" s="223" t="str">
        <f t="shared" ca="1" si="23"/>
        <v/>
      </c>
      <c r="AF34" s="223" t="str">
        <f t="shared" ca="1" si="24"/>
        <v/>
      </c>
      <c r="AG34" s="223" t="str">
        <f t="shared" ca="1" si="25"/>
        <v/>
      </c>
      <c r="AH34" s="223" t="str">
        <f t="shared" ca="1" si="26"/>
        <v/>
      </c>
      <c r="AI34" s="223" t="str">
        <f t="shared" ca="1" si="27"/>
        <v/>
      </c>
      <c r="AJ34" s="223" t="str">
        <f t="shared" ca="1" si="28"/>
        <v/>
      </c>
      <c r="AK34" s="223" t="str">
        <f t="shared" ca="1" si="29"/>
        <v/>
      </c>
    </row>
    <row r="35" spans="1:37" x14ac:dyDescent="0.25">
      <c r="A35" s="10">
        <v>23</v>
      </c>
      <c r="B35" s="11" t="str">
        <f>IF(ISNONTEXT(Landcover!B27),"",Landcover!B27)</f>
        <v/>
      </c>
      <c r="C35" s="12" t="str">
        <f t="shared" ca="1" si="1"/>
        <v/>
      </c>
      <c r="D35" s="12" t="str">
        <f t="shared" ca="1" si="2"/>
        <v/>
      </c>
      <c r="E35" s="240" t="str">
        <f t="shared" ca="1" si="3"/>
        <v/>
      </c>
      <c r="F35" s="13" t="str">
        <f t="shared" ca="1" si="4"/>
        <v/>
      </c>
      <c r="G35" s="13" t="str">
        <f t="shared" ca="1" si="5"/>
        <v/>
      </c>
      <c r="H35" s="14" t="str">
        <f t="shared" ca="1" si="6"/>
        <v/>
      </c>
      <c r="I35" s="15" t="s">
        <v>105</v>
      </c>
      <c r="J35" s="16">
        <v>0</v>
      </c>
      <c r="K35" s="16">
        <v>0</v>
      </c>
      <c r="L35" s="16">
        <v>0</v>
      </c>
      <c r="M35" s="12" t="str">
        <f t="shared" ca="1" si="7"/>
        <v/>
      </c>
      <c r="N35" s="12" t="str">
        <f t="shared" ca="1" si="8"/>
        <v/>
      </c>
      <c r="O35" s="12" t="str">
        <f t="shared" ca="1" si="30"/>
        <v/>
      </c>
      <c r="P35" s="16">
        <v>0</v>
      </c>
      <c r="Q35" s="312" t="str">
        <f t="shared" ca="1" si="10"/>
        <v/>
      </c>
      <c r="R35" s="241" t="str">
        <f t="shared" ca="1" si="11"/>
        <v/>
      </c>
      <c r="S35" s="312" t="str">
        <f t="shared" ca="1" si="12"/>
        <v/>
      </c>
      <c r="T35" s="241" t="str">
        <f t="shared" ca="1" si="13"/>
        <v/>
      </c>
      <c r="U35" s="312" t="str">
        <f t="shared" ca="1" si="14"/>
        <v/>
      </c>
      <c r="V35" s="241" t="str">
        <f t="shared" ca="1" si="15"/>
        <v/>
      </c>
      <c r="W35" s="312" t="str">
        <f t="shared" ca="1" si="16"/>
        <v/>
      </c>
      <c r="X35" s="241" t="str">
        <f t="shared" ca="1" si="17"/>
        <v/>
      </c>
      <c r="Y35" s="312" t="str">
        <f t="shared" ca="1" si="18"/>
        <v/>
      </c>
      <c r="Z35" s="241" t="str">
        <f t="shared" ca="1" si="19"/>
        <v/>
      </c>
      <c r="AA35" s="313" t="str">
        <f t="shared" ca="1" si="20"/>
        <v/>
      </c>
      <c r="AB35" s="241" t="str">
        <f t="shared" ca="1" si="21"/>
        <v/>
      </c>
      <c r="AD35" s="223" t="str">
        <f t="shared" ca="1" si="22"/>
        <v/>
      </c>
      <c r="AE35" s="223" t="str">
        <f t="shared" ca="1" si="23"/>
        <v/>
      </c>
      <c r="AF35" s="223" t="str">
        <f t="shared" ca="1" si="24"/>
        <v/>
      </c>
      <c r="AG35" s="223" t="str">
        <f t="shared" ca="1" si="25"/>
        <v/>
      </c>
      <c r="AH35" s="223" t="str">
        <f t="shared" ca="1" si="26"/>
        <v/>
      </c>
      <c r="AI35" s="223" t="str">
        <f t="shared" ca="1" si="27"/>
        <v/>
      </c>
      <c r="AJ35" s="223" t="str">
        <f t="shared" ca="1" si="28"/>
        <v/>
      </c>
      <c r="AK35" s="223" t="str">
        <f t="shared" ca="1" si="29"/>
        <v/>
      </c>
    </row>
    <row r="36" spans="1:37" x14ac:dyDescent="0.25">
      <c r="A36" s="10">
        <v>24</v>
      </c>
      <c r="B36" s="11" t="str">
        <f>IF(ISNONTEXT(Landcover!B28),"",Landcover!B28)</f>
        <v/>
      </c>
      <c r="C36" s="12" t="str">
        <f t="shared" ca="1" si="1"/>
        <v/>
      </c>
      <c r="D36" s="12" t="str">
        <f t="shared" ca="1" si="2"/>
        <v/>
      </c>
      <c r="E36" s="240" t="str">
        <f t="shared" ca="1" si="3"/>
        <v/>
      </c>
      <c r="F36" s="13" t="str">
        <f t="shared" ca="1" si="4"/>
        <v/>
      </c>
      <c r="G36" s="13" t="str">
        <f t="shared" ca="1" si="5"/>
        <v/>
      </c>
      <c r="H36" s="14" t="str">
        <f ca="1">IFERROR(((C36-(C36*((J36+K36)/2)))+O36),"")</f>
        <v/>
      </c>
      <c r="I36" s="15" t="s">
        <v>105</v>
      </c>
      <c r="J36" s="16">
        <v>0</v>
      </c>
      <c r="K36" s="16">
        <v>0</v>
      </c>
      <c r="L36" s="16">
        <v>0</v>
      </c>
      <c r="M36" s="12" t="str">
        <f t="shared" ca="1" si="7"/>
        <v/>
      </c>
      <c r="N36" s="12" t="str">
        <f t="shared" ca="1" si="8"/>
        <v/>
      </c>
      <c r="O36" s="12" t="str">
        <f t="shared" ca="1" si="30"/>
        <v/>
      </c>
      <c r="P36" s="16">
        <v>0</v>
      </c>
      <c r="Q36" s="312" t="str">
        <f t="shared" ca="1" si="10"/>
        <v/>
      </c>
      <c r="R36" s="241" t="str">
        <f t="shared" ca="1" si="11"/>
        <v/>
      </c>
      <c r="S36" s="312" t="str">
        <f t="shared" ca="1" si="12"/>
        <v/>
      </c>
      <c r="T36" s="241" t="str">
        <f t="shared" ca="1" si="13"/>
        <v/>
      </c>
      <c r="U36" s="312" t="str">
        <f t="shared" ca="1" si="14"/>
        <v/>
      </c>
      <c r="V36" s="241" t="str">
        <f t="shared" ca="1" si="15"/>
        <v/>
      </c>
      <c r="W36" s="312" t="str">
        <f t="shared" ca="1" si="16"/>
        <v/>
      </c>
      <c r="X36" s="241" t="str">
        <f t="shared" ca="1" si="17"/>
        <v/>
      </c>
      <c r="Y36" s="312" t="str">
        <f t="shared" ca="1" si="18"/>
        <v/>
      </c>
      <c r="Z36" s="241" t="str">
        <f t="shared" ca="1" si="19"/>
        <v/>
      </c>
      <c r="AA36" s="313" t="str">
        <f t="shared" ca="1" si="20"/>
        <v/>
      </c>
      <c r="AB36" s="241" t="str">
        <f t="shared" ca="1" si="21"/>
        <v/>
      </c>
      <c r="AD36" s="223" t="str">
        <f t="shared" ca="1" si="22"/>
        <v/>
      </c>
      <c r="AE36" s="223" t="str">
        <f t="shared" ca="1" si="23"/>
        <v/>
      </c>
      <c r="AF36" s="223" t="str">
        <f t="shared" ca="1" si="24"/>
        <v/>
      </c>
      <c r="AG36" s="223" t="str">
        <f t="shared" ca="1" si="25"/>
        <v/>
      </c>
      <c r="AH36" s="223" t="str">
        <f t="shared" ca="1" si="26"/>
        <v/>
      </c>
      <c r="AI36" s="223" t="str">
        <f t="shared" ca="1" si="27"/>
        <v/>
      </c>
      <c r="AJ36" s="223" t="str">
        <f t="shared" ca="1" si="28"/>
        <v/>
      </c>
      <c r="AK36" s="223" t="str">
        <f t="shared" ca="1" si="29"/>
        <v/>
      </c>
    </row>
    <row r="37" spans="1:37" x14ac:dyDescent="0.25">
      <c r="A37" s="10">
        <v>25</v>
      </c>
      <c r="B37" s="11" t="str">
        <f>IF(ISNONTEXT(Landcover!B29),"",Landcover!B29)</f>
        <v/>
      </c>
      <c r="C37" s="12" t="str">
        <f t="shared" ca="1" si="1"/>
        <v/>
      </c>
      <c r="D37" s="12" t="str">
        <f t="shared" ca="1" si="2"/>
        <v/>
      </c>
      <c r="E37" s="240" t="str">
        <f t="shared" ca="1" si="3"/>
        <v/>
      </c>
      <c r="F37" s="13" t="str">
        <f t="shared" ca="1" si="4"/>
        <v/>
      </c>
      <c r="G37" s="13" t="str">
        <f t="shared" ca="1" si="5"/>
        <v/>
      </c>
      <c r="H37" s="14" t="str">
        <f t="shared" ca="1" si="6"/>
        <v/>
      </c>
      <c r="I37" s="15" t="s">
        <v>105</v>
      </c>
      <c r="J37" s="16">
        <v>0</v>
      </c>
      <c r="K37" s="16">
        <v>0</v>
      </c>
      <c r="L37" s="16">
        <v>0</v>
      </c>
      <c r="M37" s="12" t="str">
        <f t="shared" ca="1" si="7"/>
        <v/>
      </c>
      <c r="N37" s="12" t="str">
        <f t="shared" ca="1" si="8"/>
        <v/>
      </c>
      <c r="O37" s="12" t="str">
        <f t="shared" ca="1" si="30"/>
        <v/>
      </c>
      <c r="P37" s="16">
        <v>0</v>
      </c>
      <c r="Q37" s="312" t="str">
        <f t="shared" ca="1" si="10"/>
        <v/>
      </c>
      <c r="R37" s="241" t="str">
        <f t="shared" ca="1" si="11"/>
        <v/>
      </c>
      <c r="S37" s="312" t="str">
        <f t="shared" ca="1" si="12"/>
        <v/>
      </c>
      <c r="T37" s="241" t="str">
        <f t="shared" ca="1" si="13"/>
        <v/>
      </c>
      <c r="U37" s="312" t="str">
        <f t="shared" ca="1" si="14"/>
        <v/>
      </c>
      <c r="V37" s="241" t="str">
        <f t="shared" ca="1" si="15"/>
        <v/>
      </c>
      <c r="W37" s="312" t="str">
        <f t="shared" ca="1" si="16"/>
        <v/>
      </c>
      <c r="X37" s="241" t="str">
        <f t="shared" ca="1" si="17"/>
        <v/>
      </c>
      <c r="Y37" s="312" t="str">
        <f t="shared" ca="1" si="18"/>
        <v/>
      </c>
      <c r="Z37" s="241" t="str">
        <f t="shared" ca="1" si="19"/>
        <v/>
      </c>
      <c r="AA37" s="313" t="str">
        <f t="shared" ca="1" si="20"/>
        <v/>
      </c>
      <c r="AB37" s="241" t="str">
        <f t="shared" ca="1" si="21"/>
        <v/>
      </c>
      <c r="AD37" s="223" t="str">
        <f t="shared" ca="1" si="22"/>
        <v/>
      </c>
      <c r="AE37" s="223" t="str">
        <f t="shared" ca="1" si="23"/>
        <v/>
      </c>
      <c r="AF37" s="223" t="str">
        <f t="shared" ca="1" si="24"/>
        <v/>
      </c>
      <c r="AG37" s="223" t="str">
        <f t="shared" ca="1" si="25"/>
        <v/>
      </c>
      <c r="AH37" s="223" t="str">
        <f t="shared" ca="1" si="26"/>
        <v/>
      </c>
      <c r="AI37" s="223" t="str">
        <f t="shared" ca="1" si="27"/>
        <v/>
      </c>
      <c r="AJ37" s="223" t="str">
        <f t="shared" ca="1" si="28"/>
        <v/>
      </c>
      <c r="AK37" s="223" t="str">
        <f t="shared" ca="1" si="29"/>
        <v/>
      </c>
    </row>
    <row r="38" spans="1:37" x14ac:dyDescent="0.25">
      <c r="A38" s="10">
        <v>26</v>
      </c>
      <c r="B38" s="11" t="str">
        <f>IF(ISNONTEXT(Landcover!B30),"",Landcover!B30)</f>
        <v/>
      </c>
      <c r="C38" s="12" t="str">
        <f t="shared" ca="1" si="1"/>
        <v/>
      </c>
      <c r="D38" s="12" t="str">
        <f t="shared" ca="1" si="2"/>
        <v/>
      </c>
      <c r="E38" s="240" t="str">
        <f t="shared" ca="1" si="3"/>
        <v/>
      </c>
      <c r="F38" s="13" t="str">
        <f t="shared" ca="1" si="4"/>
        <v/>
      </c>
      <c r="G38" s="13" t="str">
        <f t="shared" ca="1" si="5"/>
        <v/>
      </c>
      <c r="H38" s="14" t="str">
        <f t="shared" ca="1" si="6"/>
        <v/>
      </c>
      <c r="I38" s="15" t="s">
        <v>105</v>
      </c>
      <c r="J38" s="16">
        <v>0</v>
      </c>
      <c r="K38" s="16">
        <v>0</v>
      </c>
      <c r="L38" s="16">
        <v>0</v>
      </c>
      <c r="M38" s="12" t="str">
        <f t="shared" ca="1" si="7"/>
        <v/>
      </c>
      <c r="N38" s="12" t="str">
        <f t="shared" ca="1" si="8"/>
        <v/>
      </c>
      <c r="O38" s="12" t="str">
        <f t="shared" ca="1" si="30"/>
        <v/>
      </c>
      <c r="P38" s="16">
        <v>0</v>
      </c>
      <c r="Q38" s="312" t="str">
        <f t="shared" ca="1" si="10"/>
        <v/>
      </c>
      <c r="R38" s="241" t="str">
        <f t="shared" ca="1" si="11"/>
        <v/>
      </c>
      <c r="S38" s="312" t="str">
        <f t="shared" ca="1" si="12"/>
        <v/>
      </c>
      <c r="T38" s="241" t="str">
        <f t="shared" ca="1" si="13"/>
        <v/>
      </c>
      <c r="U38" s="312" t="str">
        <f t="shared" ca="1" si="14"/>
        <v/>
      </c>
      <c r="V38" s="241" t="str">
        <f t="shared" ca="1" si="15"/>
        <v/>
      </c>
      <c r="W38" s="312" t="str">
        <f t="shared" ca="1" si="16"/>
        <v/>
      </c>
      <c r="X38" s="241" t="str">
        <f t="shared" ca="1" si="17"/>
        <v/>
      </c>
      <c r="Y38" s="312" t="str">
        <f t="shared" ca="1" si="18"/>
        <v/>
      </c>
      <c r="Z38" s="241" t="str">
        <f t="shared" ca="1" si="19"/>
        <v/>
      </c>
      <c r="AA38" s="313" t="str">
        <f t="shared" ca="1" si="20"/>
        <v/>
      </c>
      <c r="AB38" s="241" t="str">
        <f t="shared" ca="1" si="21"/>
        <v/>
      </c>
      <c r="AD38" s="223" t="str">
        <f t="shared" ca="1" si="22"/>
        <v/>
      </c>
      <c r="AE38" s="223" t="str">
        <f t="shared" ca="1" si="23"/>
        <v/>
      </c>
      <c r="AF38" s="223" t="str">
        <f t="shared" ca="1" si="24"/>
        <v/>
      </c>
      <c r="AG38" s="223" t="str">
        <f t="shared" ca="1" si="25"/>
        <v/>
      </c>
      <c r="AH38" s="223" t="str">
        <f t="shared" ca="1" si="26"/>
        <v/>
      </c>
      <c r="AI38" s="223" t="str">
        <f t="shared" ca="1" si="27"/>
        <v/>
      </c>
      <c r="AJ38" s="223" t="str">
        <f t="shared" ca="1" si="28"/>
        <v/>
      </c>
      <c r="AK38" s="223" t="str">
        <f t="shared" ca="1" si="29"/>
        <v/>
      </c>
    </row>
    <row r="39" spans="1:37" x14ac:dyDescent="0.25">
      <c r="A39" s="10">
        <v>27</v>
      </c>
      <c r="B39" s="11" t="str">
        <f>IF(ISNONTEXT(Landcover!B31),"",Landcover!B31)</f>
        <v/>
      </c>
      <c r="C39" s="12" t="str">
        <f t="shared" ca="1" si="1"/>
        <v/>
      </c>
      <c r="D39" s="12" t="str">
        <f t="shared" ca="1" si="2"/>
        <v/>
      </c>
      <c r="E39" s="240" t="str">
        <f t="shared" ca="1" si="3"/>
        <v/>
      </c>
      <c r="F39" s="13" t="str">
        <f t="shared" ca="1" si="4"/>
        <v/>
      </c>
      <c r="G39" s="13" t="str">
        <f t="shared" ca="1" si="5"/>
        <v/>
      </c>
      <c r="H39" s="14" t="str">
        <f t="shared" ca="1" si="6"/>
        <v/>
      </c>
      <c r="I39" s="15" t="s">
        <v>105</v>
      </c>
      <c r="J39" s="16">
        <v>0</v>
      </c>
      <c r="K39" s="16">
        <v>0</v>
      </c>
      <c r="L39" s="16">
        <v>0</v>
      </c>
      <c r="M39" s="12" t="str">
        <f t="shared" ca="1" si="7"/>
        <v/>
      </c>
      <c r="N39" s="12" t="str">
        <f t="shared" ca="1" si="8"/>
        <v/>
      </c>
      <c r="O39" s="12" t="str">
        <f t="shared" ca="1" si="30"/>
        <v/>
      </c>
      <c r="P39" s="16">
        <v>0</v>
      </c>
      <c r="Q39" s="312" t="str">
        <f t="shared" ca="1" si="10"/>
        <v/>
      </c>
      <c r="R39" s="241" t="str">
        <f t="shared" ca="1" si="11"/>
        <v/>
      </c>
      <c r="S39" s="312" t="str">
        <f t="shared" ca="1" si="12"/>
        <v/>
      </c>
      <c r="T39" s="241" t="str">
        <f t="shared" ca="1" si="13"/>
        <v/>
      </c>
      <c r="U39" s="312" t="str">
        <f t="shared" ca="1" si="14"/>
        <v/>
      </c>
      <c r="V39" s="241" t="str">
        <f t="shared" ca="1" si="15"/>
        <v/>
      </c>
      <c r="W39" s="312" t="str">
        <f t="shared" ca="1" si="16"/>
        <v/>
      </c>
      <c r="X39" s="241" t="str">
        <f t="shared" ca="1" si="17"/>
        <v/>
      </c>
      <c r="Y39" s="312" t="str">
        <f t="shared" ca="1" si="18"/>
        <v/>
      </c>
      <c r="Z39" s="241" t="str">
        <f t="shared" ca="1" si="19"/>
        <v/>
      </c>
      <c r="AA39" s="313" t="str">
        <f t="shared" ca="1" si="20"/>
        <v/>
      </c>
      <c r="AB39" s="241" t="str">
        <f t="shared" ca="1" si="21"/>
        <v/>
      </c>
      <c r="AD39" s="223" t="str">
        <f t="shared" ca="1" si="22"/>
        <v/>
      </c>
      <c r="AE39" s="223" t="str">
        <f t="shared" ca="1" si="23"/>
        <v/>
      </c>
      <c r="AF39" s="223" t="str">
        <f t="shared" ca="1" si="24"/>
        <v/>
      </c>
      <c r="AG39" s="223" t="str">
        <f t="shared" ca="1" si="25"/>
        <v/>
      </c>
      <c r="AH39" s="223" t="str">
        <f t="shared" ca="1" si="26"/>
        <v/>
      </c>
      <c r="AI39" s="223" t="str">
        <f t="shared" ca="1" si="27"/>
        <v/>
      </c>
      <c r="AJ39" s="223" t="str">
        <f t="shared" ca="1" si="28"/>
        <v/>
      </c>
      <c r="AK39" s="223" t="str">
        <f t="shared" ca="1" si="29"/>
        <v/>
      </c>
    </row>
    <row r="40" spans="1:37" x14ac:dyDescent="0.25">
      <c r="A40" s="10">
        <v>28</v>
      </c>
      <c r="B40" s="11" t="str">
        <f>IF(ISNONTEXT(Landcover!B32),"",Landcover!B32)</f>
        <v/>
      </c>
      <c r="C40" s="12" t="str">
        <f t="shared" ca="1" si="1"/>
        <v/>
      </c>
      <c r="D40" s="12" t="str">
        <f t="shared" ca="1" si="2"/>
        <v/>
      </c>
      <c r="E40" s="240" t="str">
        <f t="shared" ca="1" si="3"/>
        <v/>
      </c>
      <c r="F40" s="13" t="str">
        <f t="shared" ca="1" si="4"/>
        <v/>
      </c>
      <c r="G40" s="13" t="str">
        <f t="shared" ca="1" si="5"/>
        <v/>
      </c>
      <c r="H40" s="14" t="str">
        <f t="shared" ca="1" si="6"/>
        <v/>
      </c>
      <c r="I40" s="15" t="s">
        <v>105</v>
      </c>
      <c r="J40" s="16">
        <v>0</v>
      </c>
      <c r="K40" s="16">
        <v>0</v>
      </c>
      <c r="L40" s="16">
        <v>0</v>
      </c>
      <c r="M40" s="12" t="str">
        <f t="shared" ca="1" si="7"/>
        <v/>
      </c>
      <c r="N40" s="12" t="str">
        <f t="shared" ca="1" si="8"/>
        <v/>
      </c>
      <c r="O40" s="12" t="str">
        <f t="shared" ca="1" si="30"/>
        <v/>
      </c>
      <c r="P40" s="16">
        <v>0</v>
      </c>
      <c r="Q40" s="312" t="str">
        <f t="shared" ca="1" si="10"/>
        <v/>
      </c>
      <c r="R40" s="241" t="str">
        <f t="shared" ca="1" si="11"/>
        <v/>
      </c>
      <c r="S40" s="312" t="str">
        <f t="shared" ca="1" si="12"/>
        <v/>
      </c>
      <c r="T40" s="241" t="str">
        <f t="shared" ca="1" si="13"/>
        <v/>
      </c>
      <c r="U40" s="312" t="str">
        <f t="shared" ca="1" si="14"/>
        <v/>
      </c>
      <c r="V40" s="241" t="str">
        <f t="shared" ca="1" si="15"/>
        <v/>
      </c>
      <c r="W40" s="312" t="str">
        <f t="shared" ca="1" si="16"/>
        <v/>
      </c>
      <c r="X40" s="241" t="str">
        <f t="shared" ca="1" si="17"/>
        <v/>
      </c>
      <c r="Y40" s="312" t="str">
        <f t="shared" ca="1" si="18"/>
        <v/>
      </c>
      <c r="Z40" s="241" t="str">
        <f t="shared" ca="1" si="19"/>
        <v/>
      </c>
      <c r="AA40" s="313" t="str">
        <f t="shared" ca="1" si="20"/>
        <v/>
      </c>
      <c r="AB40" s="241" t="str">
        <f t="shared" ca="1" si="21"/>
        <v/>
      </c>
      <c r="AD40" s="223" t="str">
        <f t="shared" ca="1" si="22"/>
        <v/>
      </c>
      <c r="AE40" s="223" t="str">
        <f t="shared" ca="1" si="23"/>
        <v/>
      </c>
      <c r="AF40" s="223" t="str">
        <f t="shared" ca="1" si="24"/>
        <v/>
      </c>
      <c r="AG40" s="223" t="str">
        <f t="shared" ca="1" si="25"/>
        <v/>
      </c>
      <c r="AH40" s="223" t="str">
        <f t="shared" ca="1" si="26"/>
        <v/>
      </c>
      <c r="AI40" s="223" t="str">
        <f t="shared" ca="1" si="27"/>
        <v/>
      </c>
      <c r="AJ40" s="223" t="str">
        <f t="shared" ca="1" si="28"/>
        <v/>
      </c>
      <c r="AK40" s="223" t="str">
        <f t="shared" ca="1" si="29"/>
        <v/>
      </c>
    </row>
    <row r="41" spans="1:37" x14ac:dyDescent="0.25">
      <c r="A41" s="10">
        <v>29</v>
      </c>
      <c r="B41" s="11" t="str">
        <f>IF(ISNONTEXT(Landcover!B33),"",Landcover!B33)</f>
        <v/>
      </c>
      <c r="C41" s="12" t="str">
        <f t="shared" ca="1" si="1"/>
        <v/>
      </c>
      <c r="D41" s="12" t="str">
        <f t="shared" ca="1" si="2"/>
        <v/>
      </c>
      <c r="E41" s="240" t="str">
        <f t="shared" ca="1" si="3"/>
        <v/>
      </c>
      <c r="F41" s="13" t="str">
        <f t="shared" ca="1" si="4"/>
        <v/>
      </c>
      <c r="G41" s="13" t="str">
        <f t="shared" ca="1" si="5"/>
        <v/>
      </c>
      <c r="H41" s="14" t="str">
        <f t="shared" ca="1" si="6"/>
        <v/>
      </c>
      <c r="I41" s="15" t="s">
        <v>105</v>
      </c>
      <c r="J41" s="16">
        <v>0</v>
      </c>
      <c r="K41" s="16">
        <v>0</v>
      </c>
      <c r="L41" s="16">
        <v>0</v>
      </c>
      <c r="M41" s="12" t="str">
        <f t="shared" ca="1" si="7"/>
        <v/>
      </c>
      <c r="N41" s="12" t="str">
        <f t="shared" ca="1" si="8"/>
        <v/>
      </c>
      <c r="O41" s="12" t="str">
        <f t="shared" ca="1" si="30"/>
        <v/>
      </c>
      <c r="P41" s="16">
        <v>0</v>
      </c>
      <c r="Q41" s="312" t="str">
        <f t="shared" ca="1" si="10"/>
        <v/>
      </c>
      <c r="R41" s="241" t="str">
        <f t="shared" ca="1" si="11"/>
        <v/>
      </c>
      <c r="S41" s="312" t="str">
        <f t="shared" ca="1" si="12"/>
        <v/>
      </c>
      <c r="T41" s="241" t="str">
        <f t="shared" ca="1" si="13"/>
        <v/>
      </c>
      <c r="U41" s="312" t="str">
        <f t="shared" ca="1" si="14"/>
        <v/>
      </c>
      <c r="V41" s="241" t="str">
        <f t="shared" ca="1" si="15"/>
        <v/>
      </c>
      <c r="W41" s="312" t="str">
        <f t="shared" ca="1" si="16"/>
        <v/>
      </c>
      <c r="X41" s="241" t="str">
        <f t="shared" ca="1" si="17"/>
        <v/>
      </c>
      <c r="Y41" s="312" t="str">
        <f t="shared" ca="1" si="18"/>
        <v/>
      </c>
      <c r="Z41" s="241" t="str">
        <f t="shared" ca="1" si="19"/>
        <v/>
      </c>
      <c r="AA41" s="313" t="str">
        <f t="shared" ca="1" si="20"/>
        <v/>
      </c>
      <c r="AB41" s="241" t="str">
        <f t="shared" ca="1" si="21"/>
        <v/>
      </c>
      <c r="AD41" s="223" t="str">
        <f t="shared" ca="1" si="22"/>
        <v/>
      </c>
      <c r="AE41" s="223" t="str">
        <f t="shared" ca="1" si="23"/>
        <v/>
      </c>
      <c r="AF41" s="223" t="str">
        <f t="shared" ca="1" si="24"/>
        <v/>
      </c>
      <c r="AG41" s="223" t="str">
        <f t="shared" ca="1" si="25"/>
        <v/>
      </c>
      <c r="AH41" s="223" t="str">
        <f t="shared" ca="1" si="26"/>
        <v/>
      </c>
      <c r="AI41" s="223" t="str">
        <f t="shared" ca="1" si="27"/>
        <v/>
      </c>
      <c r="AJ41" s="223" t="str">
        <f t="shared" ca="1" si="28"/>
        <v/>
      </c>
      <c r="AK41" s="223" t="str">
        <f t="shared" ca="1" si="29"/>
        <v/>
      </c>
    </row>
    <row r="42" spans="1:37" x14ac:dyDescent="0.25">
      <c r="A42" s="10">
        <v>30</v>
      </c>
      <c r="B42" s="11" t="str">
        <f>IF(ISNONTEXT(Landcover!B34),"",Landcover!B34)</f>
        <v/>
      </c>
      <c r="C42" s="12" t="str">
        <f t="shared" ca="1" si="1"/>
        <v/>
      </c>
      <c r="D42" s="12" t="str">
        <f t="shared" ca="1" si="2"/>
        <v/>
      </c>
      <c r="E42" s="240" t="str">
        <f t="shared" ca="1" si="3"/>
        <v/>
      </c>
      <c r="F42" s="13" t="str">
        <f t="shared" ca="1" si="4"/>
        <v/>
      </c>
      <c r="G42" s="13" t="str">
        <f t="shared" ca="1" si="5"/>
        <v/>
      </c>
      <c r="H42" s="14" t="str">
        <f t="shared" ca="1" si="6"/>
        <v/>
      </c>
      <c r="I42" s="15" t="s">
        <v>105</v>
      </c>
      <c r="J42" s="16">
        <v>0</v>
      </c>
      <c r="K42" s="16">
        <v>0</v>
      </c>
      <c r="L42" s="16">
        <v>0</v>
      </c>
      <c r="M42" s="12" t="str">
        <f t="shared" ca="1" si="7"/>
        <v/>
      </c>
      <c r="N42" s="12" t="str">
        <f t="shared" ca="1" si="8"/>
        <v/>
      </c>
      <c r="O42" s="12" t="str">
        <f t="shared" ca="1" si="30"/>
        <v/>
      </c>
      <c r="P42" s="16">
        <v>0</v>
      </c>
      <c r="Q42" s="312" t="str">
        <f t="shared" ca="1" si="10"/>
        <v/>
      </c>
      <c r="R42" s="241" t="str">
        <f t="shared" ca="1" si="11"/>
        <v/>
      </c>
      <c r="S42" s="312" t="str">
        <f t="shared" ca="1" si="12"/>
        <v/>
      </c>
      <c r="T42" s="241" t="str">
        <f t="shared" ca="1" si="13"/>
        <v/>
      </c>
      <c r="U42" s="312" t="str">
        <f t="shared" ca="1" si="14"/>
        <v/>
      </c>
      <c r="V42" s="241" t="str">
        <f t="shared" ca="1" si="15"/>
        <v/>
      </c>
      <c r="W42" s="312" t="str">
        <f t="shared" ca="1" si="16"/>
        <v/>
      </c>
      <c r="X42" s="241" t="str">
        <f t="shared" ca="1" si="17"/>
        <v/>
      </c>
      <c r="Y42" s="312" t="str">
        <f t="shared" ca="1" si="18"/>
        <v/>
      </c>
      <c r="Z42" s="241" t="str">
        <f t="shared" ca="1" si="19"/>
        <v/>
      </c>
      <c r="AA42" s="313" t="str">
        <f t="shared" ca="1" si="20"/>
        <v/>
      </c>
      <c r="AB42" s="241" t="str">
        <f t="shared" ca="1" si="21"/>
        <v/>
      </c>
      <c r="AD42" s="223" t="str">
        <f t="shared" ca="1" si="22"/>
        <v/>
      </c>
      <c r="AE42" s="223" t="str">
        <f t="shared" ca="1" si="23"/>
        <v/>
      </c>
      <c r="AF42" s="223" t="str">
        <f t="shared" ca="1" si="24"/>
        <v/>
      </c>
      <c r="AG42" s="223" t="str">
        <f t="shared" ca="1" si="25"/>
        <v/>
      </c>
      <c r="AH42" s="223" t="str">
        <f t="shared" ca="1" si="26"/>
        <v/>
      </c>
      <c r="AI42" s="223" t="str">
        <f t="shared" ca="1" si="27"/>
        <v/>
      </c>
      <c r="AJ42" s="223" t="str">
        <f t="shared" ca="1" si="28"/>
        <v/>
      </c>
      <c r="AK42" s="223" t="str">
        <f t="shared" ca="1" si="29"/>
        <v/>
      </c>
    </row>
    <row r="43" spans="1:37" s="346" customFormat="1" x14ac:dyDescent="0.25">
      <c r="A43" s="335">
        <v>31</v>
      </c>
      <c r="B43" s="336" t="str">
        <f>IF(ISNONTEXT(Landcover!B35),"",Landcover!B35)</f>
        <v/>
      </c>
      <c r="C43" s="337" t="str">
        <f t="shared" ca="1" si="1"/>
        <v/>
      </c>
      <c r="D43" s="337" t="str">
        <f t="shared" ca="1" si="2"/>
        <v/>
      </c>
      <c r="E43" s="338" t="str">
        <f t="shared" ca="1" si="3"/>
        <v/>
      </c>
      <c r="F43" s="339" t="str">
        <f t="shared" ca="1" si="4"/>
        <v/>
      </c>
      <c r="G43" s="339" t="str">
        <f t="shared" ca="1" si="5"/>
        <v/>
      </c>
      <c r="H43" s="340" t="str">
        <f t="shared" ca="1" si="6"/>
        <v/>
      </c>
      <c r="I43" s="341" t="s">
        <v>105</v>
      </c>
      <c r="J43" s="342">
        <v>0</v>
      </c>
      <c r="K43" s="342">
        <v>0</v>
      </c>
      <c r="L43" s="342">
        <v>0</v>
      </c>
      <c r="M43" s="337" t="str">
        <f t="shared" ca="1" si="7"/>
        <v/>
      </c>
      <c r="N43" s="337" t="str">
        <f t="shared" ca="1" si="8"/>
        <v/>
      </c>
      <c r="O43" s="337" t="str">
        <f t="shared" ca="1" si="30"/>
        <v/>
      </c>
      <c r="P43" s="342">
        <v>0</v>
      </c>
      <c r="Q43" s="343" t="str">
        <f t="shared" ca="1" si="10"/>
        <v/>
      </c>
      <c r="R43" s="344" t="str">
        <f t="shared" ca="1" si="11"/>
        <v/>
      </c>
      <c r="S43" s="343" t="str">
        <f t="shared" ca="1" si="12"/>
        <v/>
      </c>
      <c r="T43" s="344" t="str">
        <f t="shared" ca="1" si="13"/>
        <v/>
      </c>
      <c r="U43" s="343" t="str">
        <f t="shared" ca="1" si="14"/>
        <v/>
      </c>
      <c r="V43" s="344" t="str">
        <f t="shared" ca="1" si="15"/>
        <v/>
      </c>
      <c r="W43" s="343" t="str">
        <f t="shared" ca="1" si="16"/>
        <v/>
      </c>
      <c r="X43" s="344" t="str">
        <f t="shared" ca="1" si="17"/>
        <v/>
      </c>
      <c r="Y43" s="343" t="str">
        <f t="shared" ca="1" si="18"/>
        <v/>
      </c>
      <c r="Z43" s="344" t="str">
        <f t="shared" ca="1" si="19"/>
        <v/>
      </c>
      <c r="AA43" s="345" t="str">
        <f t="shared" ca="1" si="20"/>
        <v/>
      </c>
      <c r="AB43" s="344" t="str">
        <f t="shared" ca="1" si="21"/>
        <v/>
      </c>
      <c r="AD43" s="347" t="str">
        <f t="shared" ca="1" si="22"/>
        <v/>
      </c>
      <c r="AE43" s="347" t="str">
        <f t="shared" ca="1" si="23"/>
        <v/>
      </c>
      <c r="AF43" s="347" t="str">
        <f t="shared" ca="1" si="24"/>
        <v/>
      </c>
      <c r="AG43" s="347" t="str">
        <f t="shared" ca="1" si="25"/>
        <v/>
      </c>
      <c r="AH43" s="347" t="str">
        <f t="shared" ca="1" si="26"/>
        <v/>
      </c>
      <c r="AI43" s="347" t="str">
        <f t="shared" ca="1" si="27"/>
        <v/>
      </c>
      <c r="AJ43" s="347" t="str">
        <f t="shared" ca="1" si="28"/>
        <v/>
      </c>
      <c r="AK43" s="347" t="str">
        <f t="shared" ca="1" si="29"/>
        <v/>
      </c>
    </row>
    <row r="44" spans="1:37" x14ac:dyDescent="0.25">
      <c r="A44" s="10">
        <v>32</v>
      </c>
      <c r="B44" s="11" t="str">
        <f>IF(ISNONTEXT(Landcover!B36),"",Landcover!B36)</f>
        <v/>
      </c>
      <c r="C44" s="12" t="str">
        <f t="shared" ca="1" si="1"/>
        <v/>
      </c>
      <c r="D44" s="12" t="str">
        <f t="shared" ca="1" si="2"/>
        <v/>
      </c>
      <c r="E44" s="240" t="str">
        <f t="shared" ca="1" si="3"/>
        <v/>
      </c>
      <c r="F44" s="13" t="str">
        <f t="shared" ca="1" si="4"/>
        <v/>
      </c>
      <c r="G44" s="13" t="str">
        <f t="shared" ca="1" si="5"/>
        <v/>
      </c>
      <c r="H44" s="14" t="str">
        <f t="shared" ca="1" si="6"/>
        <v/>
      </c>
      <c r="I44" s="15" t="s">
        <v>105</v>
      </c>
      <c r="J44" s="16">
        <v>0</v>
      </c>
      <c r="K44" s="16">
        <v>0</v>
      </c>
      <c r="L44" s="16">
        <v>0</v>
      </c>
      <c r="M44" s="12" t="str">
        <f t="shared" ca="1" si="7"/>
        <v/>
      </c>
      <c r="N44" s="12" t="str">
        <f t="shared" ca="1" si="8"/>
        <v/>
      </c>
      <c r="O44" s="12" t="str">
        <f t="shared" ca="1" si="30"/>
        <v/>
      </c>
      <c r="P44" s="16">
        <v>0</v>
      </c>
      <c r="Q44" s="312" t="str">
        <f t="shared" ca="1" si="10"/>
        <v/>
      </c>
      <c r="R44" s="241" t="str">
        <f t="shared" ca="1" si="11"/>
        <v/>
      </c>
      <c r="S44" s="312" t="str">
        <f t="shared" ca="1" si="12"/>
        <v/>
      </c>
      <c r="T44" s="241" t="str">
        <f t="shared" ca="1" si="13"/>
        <v/>
      </c>
      <c r="U44" s="312" t="str">
        <f t="shared" ca="1" si="14"/>
        <v/>
      </c>
      <c r="V44" s="241" t="str">
        <f t="shared" ca="1" si="15"/>
        <v/>
      </c>
      <c r="W44" s="312" t="str">
        <f t="shared" ca="1" si="16"/>
        <v/>
      </c>
      <c r="X44" s="241" t="str">
        <f t="shared" ca="1" si="17"/>
        <v/>
      </c>
      <c r="Y44" s="312" t="str">
        <f t="shared" ca="1" si="18"/>
        <v/>
      </c>
      <c r="Z44" s="241" t="str">
        <f t="shared" ca="1" si="19"/>
        <v/>
      </c>
      <c r="AA44" s="313" t="str">
        <f t="shared" ca="1" si="20"/>
        <v/>
      </c>
      <c r="AB44" s="241" t="str">
        <f t="shared" ca="1" si="21"/>
        <v/>
      </c>
      <c r="AD44" s="223" t="str">
        <f t="shared" ca="1" si="22"/>
        <v/>
      </c>
      <c r="AE44" s="223" t="str">
        <f t="shared" ca="1" si="23"/>
        <v/>
      </c>
      <c r="AF44" s="223" t="str">
        <f t="shared" ca="1" si="24"/>
        <v/>
      </c>
      <c r="AG44" s="223" t="str">
        <f t="shared" ca="1" si="25"/>
        <v/>
      </c>
      <c r="AH44" s="223" t="str">
        <f t="shared" ca="1" si="26"/>
        <v/>
      </c>
      <c r="AI44" s="223" t="str">
        <f t="shared" ca="1" si="27"/>
        <v/>
      </c>
      <c r="AJ44" s="223" t="str">
        <f t="shared" ca="1" si="28"/>
        <v/>
      </c>
      <c r="AK44" s="223" t="str">
        <f t="shared" ca="1" si="29"/>
        <v/>
      </c>
    </row>
    <row r="45" spans="1:37" x14ac:dyDescent="0.25">
      <c r="A45" s="10">
        <v>33</v>
      </c>
      <c r="B45" s="11" t="str">
        <f>IF(ISNONTEXT(Landcover!B37),"",Landcover!B37)</f>
        <v/>
      </c>
      <c r="C45" s="12" t="str">
        <f t="shared" ca="1" si="1"/>
        <v/>
      </c>
      <c r="D45" s="12" t="str">
        <f t="shared" ca="1" si="2"/>
        <v/>
      </c>
      <c r="E45" s="240" t="str">
        <f t="shared" ca="1" si="3"/>
        <v/>
      </c>
      <c r="F45" s="13" t="str">
        <f t="shared" ca="1" si="4"/>
        <v/>
      </c>
      <c r="G45" s="13" t="str">
        <f t="shared" ca="1" si="5"/>
        <v/>
      </c>
      <c r="H45" s="14" t="str">
        <f t="shared" ca="1" si="6"/>
        <v/>
      </c>
      <c r="I45" s="15" t="s">
        <v>105</v>
      </c>
      <c r="J45" s="16">
        <v>0</v>
      </c>
      <c r="K45" s="16">
        <v>0</v>
      </c>
      <c r="L45" s="16">
        <v>0</v>
      </c>
      <c r="M45" s="12" t="str">
        <f t="shared" ca="1" si="7"/>
        <v/>
      </c>
      <c r="N45" s="12" t="str">
        <f t="shared" ca="1" si="8"/>
        <v/>
      </c>
      <c r="O45" s="12" t="str">
        <f t="shared" ca="1" si="30"/>
        <v/>
      </c>
      <c r="P45" s="16">
        <v>0</v>
      </c>
      <c r="Q45" s="312" t="str">
        <f t="shared" ca="1" si="10"/>
        <v/>
      </c>
      <c r="R45" s="241" t="str">
        <f t="shared" ca="1" si="11"/>
        <v/>
      </c>
      <c r="S45" s="312" t="str">
        <f t="shared" ca="1" si="12"/>
        <v/>
      </c>
      <c r="T45" s="241" t="str">
        <f t="shared" ca="1" si="13"/>
        <v/>
      </c>
      <c r="U45" s="312" t="str">
        <f t="shared" ca="1" si="14"/>
        <v/>
      </c>
      <c r="V45" s="241" t="str">
        <f t="shared" ca="1" si="15"/>
        <v/>
      </c>
      <c r="W45" s="312" t="str">
        <f t="shared" ca="1" si="16"/>
        <v/>
      </c>
      <c r="X45" s="241" t="str">
        <f t="shared" ca="1" si="17"/>
        <v/>
      </c>
      <c r="Y45" s="312" t="str">
        <f t="shared" ca="1" si="18"/>
        <v/>
      </c>
      <c r="Z45" s="241" t="str">
        <f t="shared" ca="1" si="19"/>
        <v/>
      </c>
      <c r="AA45" s="313" t="str">
        <f t="shared" ca="1" si="20"/>
        <v/>
      </c>
      <c r="AB45" s="241" t="str">
        <f t="shared" ca="1" si="21"/>
        <v/>
      </c>
      <c r="AD45" s="223" t="str">
        <f t="shared" ca="1" si="22"/>
        <v/>
      </c>
      <c r="AE45" s="223" t="str">
        <f t="shared" ca="1" si="23"/>
        <v/>
      </c>
      <c r="AF45" s="223" t="str">
        <f t="shared" ca="1" si="24"/>
        <v/>
      </c>
      <c r="AG45" s="223" t="str">
        <f t="shared" ca="1" si="25"/>
        <v/>
      </c>
      <c r="AH45" s="223" t="str">
        <f t="shared" ca="1" si="26"/>
        <v/>
      </c>
      <c r="AI45" s="223" t="str">
        <f t="shared" ca="1" si="27"/>
        <v/>
      </c>
      <c r="AJ45" s="223" t="str">
        <f t="shared" ca="1" si="28"/>
        <v/>
      </c>
      <c r="AK45" s="223" t="str">
        <f t="shared" ca="1" si="29"/>
        <v/>
      </c>
    </row>
    <row r="46" spans="1:37" x14ac:dyDescent="0.25">
      <c r="A46" s="10">
        <v>34</v>
      </c>
      <c r="B46" s="11" t="str">
        <f>IF(ISNONTEXT(Landcover!B38),"",Landcover!B38)</f>
        <v/>
      </c>
      <c r="C46" s="12" t="str">
        <f t="shared" ca="1" si="1"/>
        <v/>
      </c>
      <c r="D46" s="12" t="str">
        <f t="shared" ca="1" si="2"/>
        <v/>
      </c>
      <c r="E46" s="240" t="str">
        <f t="shared" ca="1" si="3"/>
        <v/>
      </c>
      <c r="F46" s="13" t="str">
        <f t="shared" ca="1" si="4"/>
        <v/>
      </c>
      <c r="G46" s="13" t="str">
        <f t="shared" ca="1" si="5"/>
        <v/>
      </c>
      <c r="H46" s="14" t="str">
        <f t="shared" ca="1" si="6"/>
        <v/>
      </c>
      <c r="I46" s="15" t="s">
        <v>105</v>
      </c>
      <c r="J46" s="16">
        <v>0</v>
      </c>
      <c r="K46" s="16">
        <v>0</v>
      </c>
      <c r="L46" s="16">
        <v>0</v>
      </c>
      <c r="M46" s="12" t="str">
        <f t="shared" ca="1" si="7"/>
        <v/>
      </c>
      <c r="N46" s="12" t="str">
        <f t="shared" ca="1" si="8"/>
        <v/>
      </c>
      <c r="O46" s="12" t="str">
        <f t="shared" ca="1" si="30"/>
        <v/>
      </c>
      <c r="P46" s="16">
        <v>0</v>
      </c>
      <c r="Q46" s="312" t="str">
        <f t="shared" ca="1" si="10"/>
        <v/>
      </c>
      <c r="R46" s="241" t="str">
        <f t="shared" ca="1" si="11"/>
        <v/>
      </c>
      <c r="S46" s="312" t="str">
        <f t="shared" ca="1" si="12"/>
        <v/>
      </c>
      <c r="T46" s="241" t="str">
        <f t="shared" ca="1" si="13"/>
        <v/>
      </c>
      <c r="U46" s="312" t="str">
        <f t="shared" ca="1" si="14"/>
        <v/>
      </c>
      <c r="V46" s="241" t="str">
        <f t="shared" ca="1" si="15"/>
        <v/>
      </c>
      <c r="W46" s="312" t="str">
        <f t="shared" ca="1" si="16"/>
        <v/>
      </c>
      <c r="X46" s="241" t="str">
        <f t="shared" ca="1" si="17"/>
        <v/>
      </c>
      <c r="Y46" s="312" t="str">
        <f t="shared" ca="1" si="18"/>
        <v/>
      </c>
      <c r="Z46" s="241" t="str">
        <f t="shared" ca="1" si="19"/>
        <v/>
      </c>
      <c r="AA46" s="313" t="str">
        <f t="shared" ca="1" si="20"/>
        <v/>
      </c>
      <c r="AB46" s="241" t="str">
        <f t="shared" ca="1" si="21"/>
        <v/>
      </c>
      <c r="AD46" s="223" t="str">
        <f t="shared" ca="1" si="22"/>
        <v/>
      </c>
      <c r="AE46" s="223" t="str">
        <f t="shared" ca="1" si="23"/>
        <v/>
      </c>
      <c r="AF46" s="223" t="str">
        <f t="shared" ca="1" si="24"/>
        <v/>
      </c>
      <c r="AG46" s="223" t="str">
        <f t="shared" ca="1" si="25"/>
        <v/>
      </c>
      <c r="AH46" s="223" t="str">
        <f t="shared" ca="1" si="26"/>
        <v/>
      </c>
      <c r="AI46" s="223" t="str">
        <f t="shared" ca="1" si="27"/>
        <v/>
      </c>
      <c r="AJ46" s="223" t="str">
        <f t="shared" ca="1" si="28"/>
        <v/>
      </c>
      <c r="AK46" s="223" t="str">
        <f t="shared" ca="1" si="29"/>
        <v/>
      </c>
    </row>
    <row r="47" spans="1:37" x14ac:dyDescent="0.25">
      <c r="A47" s="10">
        <v>35</v>
      </c>
      <c r="B47" s="11" t="str">
        <f>IF(ISNONTEXT(Landcover!B39),"",Landcover!B39)</f>
        <v/>
      </c>
      <c r="C47" s="12" t="str">
        <f t="shared" ca="1" si="1"/>
        <v/>
      </c>
      <c r="D47" s="12" t="str">
        <f t="shared" ca="1" si="2"/>
        <v/>
      </c>
      <c r="E47" s="240" t="str">
        <f t="shared" ca="1" si="3"/>
        <v/>
      </c>
      <c r="F47" s="13" t="str">
        <f t="shared" ca="1" si="4"/>
        <v/>
      </c>
      <c r="G47" s="13" t="str">
        <f t="shared" ca="1" si="5"/>
        <v/>
      </c>
      <c r="H47" s="14" t="str">
        <f t="shared" ca="1" si="6"/>
        <v/>
      </c>
      <c r="I47" s="15" t="s">
        <v>105</v>
      </c>
      <c r="J47" s="16">
        <v>0</v>
      </c>
      <c r="K47" s="16">
        <v>0</v>
      </c>
      <c r="L47" s="16">
        <v>0</v>
      </c>
      <c r="M47" s="12" t="str">
        <f t="shared" ca="1" si="7"/>
        <v/>
      </c>
      <c r="N47" s="12" t="str">
        <f t="shared" ca="1" si="8"/>
        <v/>
      </c>
      <c r="O47" s="12" t="str">
        <f t="shared" ca="1" si="30"/>
        <v/>
      </c>
      <c r="P47" s="16">
        <v>0</v>
      </c>
      <c r="Q47" s="312" t="str">
        <f t="shared" ca="1" si="10"/>
        <v/>
      </c>
      <c r="R47" s="241" t="str">
        <f t="shared" ca="1" si="11"/>
        <v/>
      </c>
      <c r="S47" s="312" t="str">
        <f t="shared" ca="1" si="12"/>
        <v/>
      </c>
      <c r="T47" s="241" t="str">
        <f t="shared" ca="1" si="13"/>
        <v/>
      </c>
      <c r="U47" s="312" t="str">
        <f t="shared" ca="1" si="14"/>
        <v/>
      </c>
      <c r="V47" s="241" t="str">
        <f t="shared" ca="1" si="15"/>
        <v/>
      </c>
      <c r="W47" s="312" t="str">
        <f t="shared" ca="1" si="16"/>
        <v/>
      </c>
      <c r="X47" s="241" t="str">
        <f t="shared" ca="1" si="17"/>
        <v/>
      </c>
      <c r="Y47" s="312" t="str">
        <f t="shared" ca="1" si="18"/>
        <v/>
      </c>
      <c r="Z47" s="241" t="str">
        <f t="shared" ca="1" si="19"/>
        <v/>
      </c>
      <c r="AA47" s="313" t="str">
        <f t="shared" ca="1" si="20"/>
        <v/>
      </c>
      <c r="AB47" s="241" t="str">
        <f t="shared" ca="1" si="21"/>
        <v/>
      </c>
      <c r="AD47" s="223" t="str">
        <f t="shared" ca="1" si="22"/>
        <v/>
      </c>
      <c r="AE47" s="223" t="str">
        <f t="shared" ca="1" si="23"/>
        <v/>
      </c>
      <c r="AF47" s="223" t="str">
        <f t="shared" ca="1" si="24"/>
        <v/>
      </c>
      <c r="AG47" s="223" t="str">
        <f t="shared" ca="1" si="25"/>
        <v/>
      </c>
      <c r="AH47" s="223" t="str">
        <f t="shared" ca="1" si="26"/>
        <v/>
      </c>
      <c r="AI47" s="223" t="str">
        <f t="shared" ca="1" si="27"/>
        <v/>
      </c>
      <c r="AJ47" s="223" t="str">
        <f t="shared" ca="1" si="28"/>
        <v/>
      </c>
      <c r="AK47" s="223" t="str">
        <f t="shared" ca="1" si="29"/>
        <v/>
      </c>
    </row>
    <row r="48" spans="1:37" x14ac:dyDescent="0.25">
      <c r="A48" s="10">
        <v>36</v>
      </c>
      <c r="B48" s="11" t="str">
        <f>IF(ISNONTEXT(Landcover!B40),"",Landcover!B40)</f>
        <v/>
      </c>
      <c r="C48" s="12" t="str">
        <f t="shared" ca="1" si="1"/>
        <v/>
      </c>
      <c r="D48" s="12" t="str">
        <f t="shared" ca="1" si="2"/>
        <v/>
      </c>
      <c r="E48" s="240" t="str">
        <f t="shared" ca="1" si="3"/>
        <v/>
      </c>
      <c r="F48" s="13" t="str">
        <f t="shared" ca="1" si="4"/>
        <v/>
      </c>
      <c r="G48" s="13" t="str">
        <f t="shared" ca="1" si="5"/>
        <v/>
      </c>
      <c r="H48" s="14" t="str">
        <f t="shared" ca="1" si="6"/>
        <v/>
      </c>
      <c r="I48" s="15" t="s">
        <v>105</v>
      </c>
      <c r="J48" s="16">
        <v>0</v>
      </c>
      <c r="K48" s="16">
        <v>0</v>
      </c>
      <c r="L48" s="16">
        <v>0</v>
      </c>
      <c r="M48" s="12" t="str">
        <f t="shared" ca="1" si="7"/>
        <v/>
      </c>
      <c r="N48" s="12" t="str">
        <f t="shared" ca="1" si="8"/>
        <v/>
      </c>
      <c r="O48" s="12" t="str">
        <f t="shared" ca="1" si="30"/>
        <v/>
      </c>
      <c r="P48" s="16">
        <v>0</v>
      </c>
      <c r="Q48" s="312" t="str">
        <f t="shared" ca="1" si="10"/>
        <v/>
      </c>
      <c r="R48" s="241" t="str">
        <f t="shared" ca="1" si="11"/>
        <v/>
      </c>
      <c r="S48" s="312" t="str">
        <f t="shared" ca="1" si="12"/>
        <v/>
      </c>
      <c r="T48" s="241" t="str">
        <f t="shared" ca="1" si="13"/>
        <v/>
      </c>
      <c r="U48" s="312" t="str">
        <f t="shared" ca="1" si="14"/>
        <v/>
      </c>
      <c r="V48" s="241" t="str">
        <f t="shared" ca="1" si="15"/>
        <v/>
      </c>
      <c r="W48" s="312" t="str">
        <f t="shared" ca="1" si="16"/>
        <v/>
      </c>
      <c r="X48" s="241" t="str">
        <f t="shared" ca="1" si="17"/>
        <v/>
      </c>
      <c r="Y48" s="312" t="str">
        <f t="shared" ca="1" si="18"/>
        <v/>
      </c>
      <c r="Z48" s="241" t="str">
        <f t="shared" ca="1" si="19"/>
        <v/>
      </c>
      <c r="AA48" s="313" t="str">
        <f t="shared" ca="1" si="20"/>
        <v/>
      </c>
      <c r="AB48" s="241" t="str">
        <f t="shared" ca="1" si="21"/>
        <v/>
      </c>
      <c r="AD48" s="223" t="str">
        <f t="shared" ca="1" si="22"/>
        <v/>
      </c>
      <c r="AE48" s="223" t="str">
        <f t="shared" ca="1" si="23"/>
        <v/>
      </c>
      <c r="AF48" s="223" t="str">
        <f t="shared" ca="1" si="24"/>
        <v/>
      </c>
      <c r="AG48" s="223" t="str">
        <f t="shared" ca="1" si="25"/>
        <v/>
      </c>
      <c r="AH48" s="223" t="str">
        <f t="shared" ca="1" si="26"/>
        <v/>
      </c>
      <c r="AI48" s="223" t="str">
        <f t="shared" ca="1" si="27"/>
        <v/>
      </c>
      <c r="AJ48" s="223" t="str">
        <f t="shared" ca="1" si="28"/>
        <v/>
      </c>
      <c r="AK48" s="223" t="str">
        <f t="shared" ca="1" si="29"/>
        <v/>
      </c>
    </row>
    <row r="49" spans="1:37" x14ac:dyDescent="0.25">
      <c r="A49" s="10">
        <v>37</v>
      </c>
      <c r="B49" s="11" t="str">
        <f>IF(ISNONTEXT(Landcover!B41),"",Landcover!B41)</f>
        <v/>
      </c>
      <c r="C49" s="12" t="str">
        <f t="shared" ca="1" si="1"/>
        <v/>
      </c>
      <c r="D49" s="12" t="str">
        <f t="shared" ca="1" si="2"/>
        <v/>
      </c>
      <c r="E49" s="240" t="str">
        <f t="shared" ca="1" si="3"/>
        <v/>
      </c>
      <c r="F49" s="13" t="str">
        <f t="shared" ca="1" si="4"/>
        <v/>
      </c>
      <c r="G49" s="13" t="str">
        <f t="shared" ca="1" si="5"/>
        <v/>
      </c>
      <c r="H49" s="14" t="str">
        <f t="shared" ca="1" si="6"/>
        <v/>
      </c>
      <c r="I49" s="15" t="s">
        <v>105</v>
      </c>
      <c r="J49" s="16">
        <v>0</v>
      </c>
      <c r="K49" s="16">
        <v>0</v>
      </c>
      <c r="L49" s="16">
        <v>0</v>
      </c>
      <c r="M49" s="12" t="str">
        <f t="shared" ca="1" si="7"/>
        <v/>
      </c>
      <c r="N49" s="12" t="str">
        <f t="shared" ca="1" si="8"/>
        <v/>
      </c>
      <c r="O49" s="12" t="str">
        <f t="shared" ca="1" si="30"/>
        <v/>
      </c>
      <c r="P49" s="16">
        <v>0</v>
      </c>
      <c r="Q49" s="312" t="str">
        <f t="shared" ca="1" si="10"/>
        <v/>
      </c>
      <c r="R49" s="241" t="str">
        <f t="shared" ca="1" si="11"/>
        <v/>
      </c>
      <c r="S49" s="312" t="str">
        <f t="shared" ca="1" si="12"/>
        <v/>
      </c>
      <c r="T49" s="241" t="str">
        <f t="shared" ca="1" si="13"/>
        <v/>
      </c>
      <c r="U49" s="312" t="str">
        <f t="shared" ca="1" si="14"/>
        <v/>
      </c>
      <c r="V49" s="241" t="str">
        <f t="shared" ca="1" si="15"/>
        <v/>
      </c>
      <c r="W49" s="312" t="str">
        <f t="shared" ca="1" si="16"/>
        <v/>
      </c>
      <c r="X49" s="241" t="str">
        <f t="shared" ca="1" si="17"/>
        <v/>
      </c>
      <c r="Y49" s="312" t="str">
        <f t="shared" ca="1" si="18"/>
        <v/>
      </c>
      <c r="Z49" s="241" t="str">
        <f t="shared" ca="1" si="19"/>
        <v/>
      </c>
      <c r="AA49" s="313" t="str">
        <f t="shared" ca="1" si="20"/>
        <v/>
      </c>
      <c r="AB49" s="241" t="str">
        <f t="shared" ca="1" si="21"/>
        <v/>
      </c>
      <c r="AD49" s="223" t="str">
        <f t="shared" ca="1" si="22"/>
        <v/>
      </c>
      <c r="AE49" s="223" t="str">
        <f t="shared" ca="1" si="23"/>
        <v/>
      </c>
      <c r="AF49" s="223" t="str">
        <f t="shared" ca="1" si="24"/>
        <v/>
      </c>
      <c r="AG49" s="223" t="str">
        <f t="shared" ca="1" si="25"/>
        <v/>
      </c>
      <c r="AH49" s="223" t="str">
        <f t="shared" ca="1" si="26"/>
        <v/>
      </c>
      <c r="AI49" s="223" t="str">
        <f t="shared" ca="1" si="27"/>
        <v/>
      </c>
      <c r="AJ49" s="223" t="str">
        <f t="shared" ca="1" si="28"/>
        <v/>
      </c>
      <c r="AK49" s="223" t="str">
        <f t="shared" ca="1" si="29"/>
        <v/>
      </c>
    </row>
    <row r="50" spans="1:37" x14ac:dyDescent="0.25">
      <c r="A50" s="10">
        <v>38</v>
      </c>
      <c r="B50" s="11" t="str">
        <f>IF(ISNONTEXT(Landcover!B42),"",Landcover!B42)</f>
        <v/>
      </c>
      <c r="C50" s="12" t="str">
        <f t="shared" ca="1" si="1"/>
        <v/>
      </c>
      <c r="D50" s="12" t="str">
        <f t="shared" ca="1" si="2"/>
        <v/>
      </c>
      <c r="E50" s="240" t="str">
        <f t="shared" ca="1" si="3"/>
        <v/>
      </c>
      <c r="F50" s="13" t="str">
        <f t="shared" ca="1" si="4"/>
        <v/>
      </c>
      <c r="G50" s="13" t="str">
        <f t="shared" ca="1" si="5"/>
        <v/>
      </c>
      <c r="H50" s="14" t="str">
        <f t="shared" ca="1" si="6"/>
        <v/>
      </c>
      <c r="I50" s="15" t="s">
        <v>105</v>
      </c>
      <c r="J50" s="16">
        <v>0</v>
      </c>
      <c r="K50" s="16">
        <v>0</v>
      </c>
      <c r="L50" s="16">
        <v>0</v>
      </c>
      <c r="M50" s="12" t="str">
        <f t="shared" ca="1" si="7"/>
        <v/>
      </c>
      <c r="N50" s="12" t="str">
        <f t="shared" ca="1" si="8"/>
        <v/>
      </c>
      <c r="O50" s="12" t="str">
        <f t="shared" ca="1" si="30"/>
        <v/>
      </c>
      <c r="P50" s="16">
        <v>0</v>
      </c>
      <c r="Q50" s="312" t="str">
        <f t="shared" ca="1" si="10"/>
        <v/>
      </c>
      <c r="R50" s="241" t="str">
        <f t="shared" ca="1" si="11"/>
        <v/>
      </c>
      <c r="S50" s="312" t="str">
        <f t="shared" ca="1" si="12"/>
        <v/>
      </c>
      <c r="T50" s="241" t="str">
        <f t="shared" ca="1" si="13"/>
        <v/>
      </c>
      <c r="U50" s="312" t="str">
        <f t="shared" ca="1" si="14"/>
        <v/>
      </c>
      <c r="V50" s="241" t="str">
        <f t="shared" ca="1" si="15"/>
        <v/>
      </c>
      <c r="W50" s="312" t="str">
        <f t="shared" ca="1" si="16"/>
        <v/>
      </c>
      <c r="X50" s="241" t="str">
        <f t="shared" ca="1" si="17"/>
        <v/>
      </c>
      <c r="Y50" s="312" t="str">
        <f t="shared" ca="1" si="18"/>
        <v/>
      </c>
      <c r="Z50" s="241" t="str">
        <f t="shared" ca="1" si="19"/>
        <v/>
      </c>
      <c r="AA50" s="313" t="str">
        <f t="shared" ca="1" si="20"/>
        <v/>
      </c>
      <c r="AB50" s="241" t="str">
        <f t="shared" ca="1" si="21"/>
        <v/>
      </c>
      <c r="AD50" s="223" t="str">
        <f t="shared" ca="1" si="22"/>
        <v/>
      </c>
      <c r="AE50" s="223" t="str">
        <f t="shared" ca="1" si="23"/>
        <v/>
      </c>
      <c r="AF50" s="223" t="str">
        <f t="shared" ca="1" si="24"/>
        <v/>
      </c>
      <c r="AG50" s="223" t="str">
        <f t="shared" ca="1" si="25"/>
        <v/>
      </c>
      <c r="AH50" s="223" t="str">
        <f t="shared" ca="1" si="26"/>
        <v/>
      </c>
      <c r="AI50" s="223" t="str">
        <f t="shared" ca="1" si="27"/>
        <v/>
      </c>
      <c r="AJ50" s="223" t="str">
        <f t="shared" ca="1" si="28"/>
        <v/>
      </c>
      <c r="AK50" s="223" t="str">
        <f t="shared" ca="1" si="29"/>
        <v/>
      </c>
    </row>
    <row r="51" spans="1:37" x14ac:dyDescent="0.25">
      <c r="A51" s="10">
        <v>39</v>
      </c>
      <c r="B51" s="11" t="str">
        <f>IF(ISNONTEXT(Landcover!B43),"",Landcover!B43)</f>
        <v/>
      </c>
      <c r="C51" s="12" t="str">
        <f t="shared" ca="1" si="1"/>
        <v/>
      </c>
      <c r="D51" s="12" t="str">
        <f t="shared" ca="1" si="2"/>
        <v/>
      </c>
      <c r="E51" s="240" t="str">
        <f t="shared" ca="1" si="3"/>
        <v/>
      </c>
      <c r="F51" s="13" t="str">
        <f t="shared" ca="1" si="4"/>
        <v/>
      </c>
      <c r="G51" s="13" t="str">
        <f t="shared" ca="1" si="5"/>
        <v/>
      </c>
      <c r="H51" s="14" t="str">
        <f t="shared" ca="1" si="6"/>
        <v/>
      </c>
      <c r="I51" s="15" t="s">
        <v>105</v>
      </c>
      <c r="J51" s="16">
        <v>0</v>
      </c>
      <c r="K51" s="16">
        <v>0</v>
      </c>
      <c r="L51" s="16">
        <v>0</v>
      </c>
      <c r="M51" s="12" t="str">
        <f t="shared" ca="1" si="7"/>
        <v/>
      </c>
      <c r="N51" s="12" t="str">
        <f t="shared" ca="1" si="8"/>
        <v/>
      </c>
      <c r="O51" s="12" t="str">
        <f t="shared" ca="1" si="30"/>
        <v/>
      </c>
      <c r="P51" s="16">
        <v>0</v>
      </c>
      <c r="Q51" s="312" t="str">
        <f t="shared" ca="1" si="10"/>
        <v/>
      </c>
      <c r="R51" s="241" t="str">
        <f t="shared" ca="1" si="11"/>
        <v/>
      </c>
      <c r="S51" s="312" t="str">
        <f t="shared" ca="1" si="12"/>
        <v/>
      </c>
      <c r="T51" s="241" t="str">
        <f t="shared" ca="1" si="13"/>
        <v/>
      </c>
      <c r="U51" s="312" t="str">
        <f t="shared" ca="1" si="14"/>
        <v/>
      </c>
      <c r="V51" s="241" t="str">
        <f t="shared" ca="1" si="15"/>
        <v/>
      </c>
      <c r="W51" s="312" t="str">
        <f t="shared" ca="1" si="16"/>
        <v/>
      </c>
      <c r="X51" s="241" t="str">
        <f t="shared" ca="1" si="17"/>
        <v/>
      </c>
      <c r="Y51" s="312" t="str">
        <f t="shared" ca="1" si="18"/>
        <v/>
      </c>
      <c r="Z51" s="241" t="str">
        <f t="shared" ca="1" si="19"/>
        <v/>
      </c>
      <c r="AA51" s="313" t="str">
        <f t="shared" ca="1" si="20"/>
        <v/>
      </c>
      <c r="AB51" s="241" t="str">
        <f t="shared" ca="1" si="21"/>
        <v/>
      </c>
      <c r="AD51" s="223" t="str">
        <f t="shared" ca="1" si="22"/>
        <v/>
      </c>
      <c r="AE51" s="223" t="str">
        <f t="shared" ca="1" si="23"/>
        <v/>
      </c>
      <c r="AF51" s="223" t="str">
        <f t="shared" ca="1" si="24"/>
        <v/>
      </c>
      <c r="AG51" s="223" t="str">
        <f t="shared" ca="1" si="25"/>
        <v/>
      </c>
      <c r="AH51" s="223" t="str">
        <f t="shared" ca="1" si="26"/>
        <v/>
      </c>
      <c r="AI51" s="223" t="str">
        <f t="shared" ca="1" si="27"/>
        <v/>
      </c>
      <c r="AJ51" s="223" t="str">
        <f t="shared" ca="1" si="28"/>
        <v/>
      </c>
      <c r="AK51" s="223" t="str">
        <f t="shared" ca="1" si="29"/>
        <v/>
      </c>
    </row>
    <row r="52" spans="1:37" x14ac:dyDescent="0.25">
      <c r="A52" s="10">
        <v>40</v>
      </c>
      <c r="B52" s="11" t="str">
        <f>IF(ISNONTEXT(Landcover!B44),"",Landcover!B44)</f>
        <v/>
      </c>
      <c r="C52" s="12" t="str">
        <f t="shared" ca="1" si="1"/>
        <v/>
      </c>
      <c r="D52" s="12" t="str">
        <f t="shared" ca="1" si="2"/>
        <v/>
      </c>
      <c r="E52" s="240" t="str">
        <f t="shared" ca="1" si="3"/>
        <v/>
      </c>
      <c r="F52" s="13" t="str">
        <f t="shared" ca="1" si="4"/>
        <v/>
      </c>
      <c r="G52" s="13" t="str">
        <f t="shared" ca="1" si="5"/>
        <v/>
      </c>
      <c r="H52" s="14" t="str">
        <f t="shared" ca="1" si="6"/>
        <v/>
      </c>
      <c r="I52" s="15" t="s">
        <v>105</v>
      </c>
      <c r="J52" s="16">
        <v>0</v>
      </c>
      <c r="K52" s="16">
        <v>0</v>
      </c>
      <c r="L52" s="16">
        <v>0</v>
      </c>
      <c r="M52" s="12" t="str">
        <f t="shared" ca="1" si="7"/>
        <v/>
      </c>
      <c r="N52" s="12" t="str">
        <f t="shared" ca="1" si="8"/>
        <v/>
      </c>
      <c r="O52" s="12" t="str">
        <f t="shared" ca="1" si="30"/>
        <v/>
      </c>
      <c r="P52" s="16">
        <v>0</v>
      </c>
      <c r="Q52" s="312" t="str">
        <f t="shared" ca="1" si="10"/>
        <v/>
      </c>
      <c r="R52" s="241" t="str">
        <f t="shared" ca="1" si="11"/>
        <v/>
      </c>
      <c r="S52" s="312" t="str">
        <f t="shared" ca="1" si="12"/>
        <v/>
      </c>
      <c r="T52" s="241" t="str">
        <f t="shared" ca="1" si="13"/>
        <v/>
      </c>
      <c r="U52" s="312" t="str">
        <f t="shared" ca="1" si="14"/>
        <v/>
      </c>
      <c r="V52" s="241" t="str">
        <f t="shared" ca="1" si="15"/>
        <v/>
      </c>
      <c r="W52" s="312" t="str">
        <f t="shared" ca="1" si="16"/>
        <v/>
      </c>
      <c r="X52" s="241" t="str">
        <f t="shared" ca="1" si="17"/>
        <v/>
      </c>
      <c r="Y52" s="312" t="str">
        <f t="shared" ca="1" si="18"/>
        <v/>
      </c>
      <c r="Z52" s="241" t="str">
        <f t="shared" ca="1" si="19"/>
        <v/>
      </c>
      <c r="AA52" s="313" t="str">
        <f t="shared" ca="1" si="20"/>
        <v/>
      </c>
      <c r="AB52" s="241" t="str">
        <f t="shared" ca="1" si="21"/>
        <v/>
      </c>
      <c r="AD52" s="223" t="str">
        <f t="shared" ca="1" si="22"/>
        <v/>
      </c>
      <c r="AE52" s="223" t="str">
        <f t="shared" ca="1" si="23"/>
        <v/>
      </c>
      <c r="AF52" s="223" t="str">
        <f t="shared" ca="1" si="24"/>
        <v/>
      </c>
      <c r="AG52" s="223" t="str">
        <f t="shared" ca="1" si="25"/>
        <v/>
      </c>
      <c r="AH52" s="223" t="str">
        <f t="shared" ca="1" si="26"/>
        <v/>
      </c>
      <c r="AI52" s="223" t="str">
        <f t="shared" ca="1" si="27"/>
        <v/>
      </c>
      <c r="AJ52" s="223" t="str">
        <f t="shared" ca="1" si="28"/>
        <v/>
      </c>
      <c r="AK52" s="223" t="str">
        <f t="shared" ca="1" si="29"/>
        <v/>
      </c>
    </row>
    <row r="53" spans="1:37" x14ac:dyDescent="0.25">
      <c r="A53" s="10">
        <v>41</v>
      </c>
      <c r="B53" s="11" t="str">
        <f>IF(ISNONTEXT(Landcover!B45),"",Landcover!B45)</f>
        <v/>
      </c>
      <c r="C53" s="12" t="str">
        <f t="shared" ca="1" si="1"/>
        <v/>
      </c>
      <c r="D53" s="12" t="str">
        <f t="shared" ca="1" si="2"/>
        <v/>
      </c>
      <c r="E53" s="240" t="str">
        <f t="shared" ca="1" si="3"/>
        <v/>
      </c>
      <c r="F53" s="13" t="str">
        <f t="shared" ca="1" si="4"/>
        <v/>
      </c>
      <c r="G53" s="13" t="str">
        <f t="shared" ca="1" si="5"/>
        <v/>
      </c>
      <c r="H53" s="14" t="str">
        <f t="shared" ca="1" si="6"/>
        <v/>
      </c>
      <c r="I53" s="15" t="s">
        <v>105</v>
      </c>
      <c r="J53" s="16">
        <v>0</v>
      </c>
      <c r="K53" s="16">
        <v>0</v>
      </c>
      <c r="L53" s="16">
        <v>0</v>
      </c>
      <c r="M53" s="12" t="str">
        <f t="shared" ca="1" si="7"/>
        <v/>
      </c>
      <c r="N53" s="12" t="str">
        <f t="shared" ca="1" si="8"/>
        <v/>
      </c>
      <c r="O53" s="12" t="str">
        <f t="shared" ca="1" si="30"/>
        <v/>
      </c>
      <c r="P53" s="16">
        <v>0</v>
      </c>
      <c r="Q53" s="312" t="str">
        <f t="shared" ca="1" si="10"/>
        <v/>
      </c>
      <c r="R53" s="241" t="str">
        <f t="shared" ca="1" si="11"/>
        <v/>
      </c>
      <c r="S53" s="312" t="str">
        <f t="shared" ca="1" si="12"/>
        <v/>
      </c>
      <c r="T53" s="241" t="str">
        <f t="shared" ca="1" si="13"/>
        <v/>
      </c>
      <c r="U53" s="312" t="str">
        <f t="shared" ca="1" si="14"/>
        <v/>
      </c>
      <c r="V53" s="241" t="str">
        <f t="shared" ca="1" si="15"/>
        <v/>
      </c>
      <c r="W53" s="312" t="str">
        <f t="shared" ca="1" si="16"/>
        <v/>
      </c>
      <c r="X53" s="241" t="str">
        <f t="shared" ca="1" si="17"/>
        <v/>
      </c>
      <c r="Y53" s="312" t="str">
        <f t="shared" ca="1" si="18"/>
        <v/>
      </c>
      <c r="Z53" s="241" t="str">
        <f t="shared" ca="1" si="19"/>
        <v/>
      </c>
      <c r="AA53" s="313" t="str">
        <f t="shared" ca="1" si="20"/>
        <v/>
      </c>
      <c r="AB53" s="241" t="str">
        <f t="shared" ca="1" si="21"/>
        <v/>
      </c>
      <c r="AD53" s="223" t="str">
        <f t="shared" ca="1" si="22"/>
        <v/>
      </c>
      <c r="AE53" s="223" t="str">
        <f t="shared" ca="1" si="23"/>
        <v/>
      </c>
      <c r="AF53" s="223" t="str">
        <f t="shared" ca="1" si="24"/>
        <v/>
      </c>
      <c r="AG53" s="223" t="str">
        <f t="shared" ca="1" si="25"/>
        <v/>
      </c>
      <c r="AH53" s="223" t="str">
        <f t="shared" ca="1" si="26"/>
        <v/>
      </c>
      <c r="AI53" s="223" t="str">
        <f t="shared" ca="1" si="27"/>
        <v/>
      </c>
      <c r="AJ53" s="223" t="str">
        <f t="shared" ca="1" si="28"/>
        <v/>
      </c>
      <c r="AK53" s="223" t="str">
        <f t="shared" ca="1" si="29"/>
        <v/>
      </c>
    </row>
    <row r="54" spans="1:37" x14ac:dyDescent="0.25">
      <c r="A54" s="10">
        <v>42</v>
      </c>
      <c r="B54" s="11" t="str">
        <f>IF(ISNONTEXT(Landcover!B46),"",Landcover!B46)</f>
        <v/>
      </c>
      <c r="C54" s="12" t="str">
        <f t="shared" ca="1" si="1"/>
        <v/>
      </c>
      <c r="D54" s="12" t="str">
        <f t="shared" ca="1" si="2"/>
        <v/>
      </c>
      <c r="E54" s="240" t="str">
        <f t="shared" ca="1" si="3"/>
        <v/>
      </c>
      <c r="F54" s="13" t="str">
        <f t="shared" ca="1" si="4"/>
        <v/>
      </c>
      <c r="G54" s="13" t="str">
        <f t="shared" ca="1" si="5"/>
        <v/>
      </c>
      <c r="H54" s="14" t="str">
        <f t="shared" ca="1" si="6"/>
        <v/>
      </c>
      <c r="I54" s="15" t="s">
        <v>105</v>
      </c>
      <c r="J54" s="16">
        <v>0</v>
      </c>
      <c r="K54" s="16">
        <v>0</v>
      </c>
      <c r="L54" s="16">
        <v>0</v>
      </c>
      <c r="M54" s="12" t="str">
        <f t="shared" ca="1" si="7"/>
        <v/>
      </c>
      <c r="N54" s="12" t="str">
        <f t="shared" ca="1" si="8"/>
        <v/>
      </c>
      <c r="O54" s="12" t="str">
        <f t="shared" ca="1" si="30"/>
        <v/>
      </c>
      <c r="P54" s="16">
        <v>0</v>
      </c>
      <c r="Q54" s="312" t="str">
        <f t="shared" ca="1" si="10"/>
        <v/>
      </c>
      <c r="R54" s="241" t="str">
        <f t="shared" ca="1" si="11"/>
        <v/>
      </c>
      <c r="S54" s="312" t="str">
        <f t="shared" ca="1" si="12"/>
        <v/>
      </c>
      <c r="T54" s="241" t="str">
        <f t="shared" ca="1" si="13"/>
        <v/>
      </c>
      <c r="U54" s="312" t="str">
        <f t="shared" ca="1" si="14"/>
        <v/>
      </c>
      <c r="V54" s="241" t="str">
        <f t="shared" ca="1" si="15"/>
        <v/>
      </c>
      <c r="W54" s="312" t="str">
        <f t="shared" ca="1" si="16"/>
        <v/>
      </c>
      <c r="X54" s="241" t="str">
        <f t="shared" ca="1" si="17"/>
        <v/>
      </c>
      <c r="Y54" s="312" t="str">
        <f t="shared" ca="1" si="18"/>
        <v/>
      </c>
      <c r="Z54" s="241" t="str">
        <f t="shared" ca="1" si="19"/>
        <v/>
      </c>
      <c r="AA54" s="313" t="str">
        <f t="shared" ca="1" si="20"/>
        <v/>
      </c>
      <c r="AB54" s="241" t="str">
        <f t="shared" ca="1" si="21"/>
        <v/>
      </c>
      <c r="AD54" s="223" t="str">
        <f t="shared" ca="1" si="22"/>
        <v/>
      </c>
      <c r="AE54" s="223" t="str">
        <f t="shared" ca="1" si="23"/>
        <v/>
      </c>
      <c r="AF54" s="223" t="str">
        <f t="shared" ca="1" si="24"/>
        <v/>
      </c>
      <c r="AG54" s="223" t="str">
        <f t="shared" ca="1" si="25"/>
        <v/>
      </c>
      <c r="AH54" s="223" t="str">
        <f t="shared" ca="1" si="26"/>
        <v/>
      </c>
      <c r="AI54" s="223" t="str">
        <f t="shared" ca="1" si="27"/>
        <v/>
      </c>
      <c r="AJ54" s="223" t="str">
        <f t="shared" ca="1" si="28"/>
        <v/>
      </c>
      <c r="AK54" s="223" t="str">
        <f t="shared" ca="1" si="29"/>
        <v/>
      </c>
    </row>
    <row r="55" spans="1:37" x14ac:dyDescent="0.25">
      <c r="A55" s="10">
        <v>43</v>
      </c>
      <c r="B55" s="11" t="str">
        <f>IF(ISNONTEXT(Landcover!B47),"",Landcover!B47)</f>
        <v/>
      </c>
      <c r="C55" s="12" t="str">
        <f t="shared" ca="1" si="1"/>
        <v/>
      </c>
      <c r="D55" s="12" t="str">
        <f t="shared" ca="1" si="2"/>
        <v/>
      </c>
      <c r="E55" s="240" t="str">
        <f t="shared" ca="1" si="3"/>
        <v/>
      </c>
      <c r="F55" s="13" t="str">
        <f t="shared" ca="1" si="4"/>
        <v/>
      </c>
      <c r="G55" s="13" t="str">
        <f t="shared" ca="1" si="5"/>
        <v/>
      </c>
      <c r="H55" s="14" t="str">
        <f t="shared" ca="1" si="6"/>
        <v/>
      </c>
      <c r="I55" s="15" t="s">
        <v>105</v>
      </c>
      <c r="J55" s="16">
        <v>0</v>
      </c>
      <c r="K55" s="16">
        <v>0</v>
      </c>
      <c r="L55" s="16">
        <v>0</v>
      </c>
      <c r="M55" s="12" t="str">
        <f t="shared" ca="1" si="7"/>
        <v/>
      </c>
      <c r="N55" s="12" t="str">
        <f t="shared" ca="1" si="8"/>
        <v/>
      </c>
      <c r="O55" s="12" t="str">
        <f t="shared" ca="1" si="30"/>
        <v/>
      </c>
      <c r="P55" s="16">
        <v>0</v>
      </c>
      <c r="Q55" s="312" t="str">
        <f t="shared" ca="1" si="10"/>
        <v/>
      </c>
      <c r="R55" s="241" t="str">
        <f t="shared" ca="1" si="11"/>
        <v/>
      </c>
      <c r="S55" s="312" t="str">
        <f t="shared" ca="1" si="12"/>
        <v/>
      </c>
      <c r="T55" s="241" t="str">
        <f t="shared" ca="1" si="13"/>
        <v/>
      </c>
      <c r="U55" s="312" t="str">
        <f t="shared" ca="1" si="14"/>
        <v/>
      </c>
      <c r="V55" s="241" t="str">
        <f t="shared" ca="1" si="15"/>
        <v/>
      </c>
      <c r="W55" s="312" t="str">
        <f t="shared" ca="1" si="16"/>
        <v/>
      </c>
      <c r="X55" s="241" t="str">
        <f t="shared" ca="1" si="17"/>
        <v/>
      </c>
      <c r="Y55" s="312" t="str">
        <f t="shared" ca="1" si="18"/>
        <v/>
      </c>
      <c r="Z55" s="241" t="str">
        <f t="shared" ca="1" si="19"/>
        <v/>
      </c>
      <c r="AA55" s="313" t="str">
        <f t="shared" ca="1" si="20"/>
        <v/>
      </c>
      <c r="AB55" s="241" t="str">
        <f t="shared" ca="1" si="21"/>
        <v/>
      </c>
      <c r="AD55" s="223" t="str">
        <f t="shared" ca="1" si="22"/>
        <v/>
      </c>
      <c r="AE55" s="223" t="str">
        <f t="shared" ca="1" si="23"/>
        <v/>
      </c>
      <c r="AF55" s="223" t="str">
        <f t="shared" ca="1" si="24"/>
        <v/>
      </c>
      <c r="AG55" s="223" t="str">
        <f t="shared" ca="1" si="25"/>
        <v/>
      </c>
      <c r="AH55" s="223" t="str">
        <f t="shared" ca="1" si="26"/>
        <v/>
      </c>
      <c r="AI55" s="223" t="str">
        <f t="shared" ca="1" si="27"/>
        <v/>
      </c>
      <c r="AJ55" s="223" t="str">
        <f t="shared" ca="1" si="28"/>
        <v/>
      </c>
      <c r="AK55" s="223" t="str">
        <f t="shared" ca="1" si="29"/>
        <v/>
      </c>
    </row>
    <row r="56" spans="1:37" x14ac:dyDescent="0.25">
      <c r="A56" s="10">
        <v>44</v>
      </c>
      <c r="B56" s="11" t="str">
        <f>IF(ISNONTEXT(Landcover!B48),"",Landcover!B48)</f>
        <v/>
      </c>
      <c r="C56" s="12" t="str">
        <f t="shared" ca="1" si="1"/>
        <v/>
      </c>
      <c r="D56" s="12" t="str">
        <f t="shared" ca="1" si="2"/>
        <v/>
      </c>
      <c r="E56" s="240" t="str">
        <f t="shared" ca="1" si="3"/>
        <v/>
      </c>
      <c r="F56" s="13" t="str">
        <f t="shared" ca="1" si="4"/>
        <v/>
      </c>
      <c r="G56" s="13" t="str">
        <f t="shared" ca="1" si="5"/>
        <v/>
      </c>
      <c r="H56" s="14" t="str">
        <f t="shared" ca="1" si="6"/>
        <v/>
      </c>
      <c r="I56" s="15" t="s">
        <v>105</v>
      </c>
      <c r="J56" s="16">
        <v>0</v>
      </c>
      <c r="K56" s="16">
        <v>0</v>
      </c>
      <c r="L56" s="16">
        <v>0</v>
      </c>
      <c r="M56" s="12" t="str">
        <f t="shared" ca="1" si="7"/>
        <v/>
      </c>
      <c r="N56" s="12" t="str">
        <f t="shared" ca="1" si="8"/>
        <v/>
      </c>
      <c r="O56" s="12" t="str">
        <f t="shared" ca="1" si="30"/>
        <v/>
      </c>
      <c r="P56" s="16">
        <v>0</v>
      </c>
      <c r="Q56" s="312" t="str">
        <f t="shared" ca="1" si="10"/>
        <v/>
      </c>
      <c r="R56" s="241" t="str">
        <f t="shared" ca="1" si="11"/>
        <v/>
      </c>
      <c r="S56" s="312" t="str">
        <f t="shared" ca="1" si="12"/>
        <v/>
      </c>
      <c r="T56" s="241" t="str">
        <f t="shared" ca="1" si="13"/>
        <v/>
      </c>
      <c r="U56" s="312" t="str">
        <f t="shared" ca="1" si="14"/>
        <v/>
      </c>
      <c r="V56" s="241" t="str">
        <f t="shared" ca="1" si="15"/>
        <v/>
      </c>
      <c r="W56" s="312" t="str">
        <f t="shared" ca="1" si="16"/>
        <v/>
      </c>
      <c r="X56" s="241" t="str">
        <f t="shared" ca="1" si="17"/>
        <v/>
      </c>
      <c r="Y56" s="312" t="str">
        <f t="shared" ca="1" si="18"/>
        <v/>
      </c>
      <c r="Z56" s="241" t="str">
        <f t="shared" ca="1" si="19"/>
        <v/>
      </c>
      <c r="AA56" s="313" t="str">
        <f t="shared" ca="1" si="20"/>
        <v/>
      </c>
      <c r="AB56" s="241" t="str">
        <f t="shared" ca="1" si="21"/>
        <v/>
      </c>
      <c r="AD56" s="223" t="str">
        <f t="shared" ca="1" si="22"/>
        <v/>
      </c>
      <c r="AE56" s="223" t="str">
        <f t="shared" ca="1" si="23"/>
        <v/>
      </c>
      <c r="AF56" s="223" t="str">
        <f t="shared" ca="1" si="24"/>
        <v/>
      </c>
      <c r="AG56" s="223" t="str">
        <f t="shared" ca="1" si="25"/>
        <v/>
      </c>
      <c r="AH56" s="223" t="str">
        <f t="shared" ca="1" si="26"/>
        <v/>
      </c>
      <c r="AI56" s="223" t="str">
        <f t="shared" ca="1" si="27"/>
        <v/>
      </c>
      <c r="AJ56" s="223" t="str">
        <f t="shared" ca="1" si="28"/>
        <v/>
      </c>
      <c r="AK56" s="223" t="str">
        <f t="shared" ca="1" si="29"/>
        <v/>
      </c>
    </row>
    <row r="57" spans="1:37" x14ac:dyDescent="0.25">
      <c r="A57" s="10">
        <v>45</v>
      </c>
      <c r="B57" s="11" t="str">
        <f>IF(ISNONTEXT(Landcover!B49),"",Landcover!B49)</f>
        <v/>
      </c>
      <c r="C57" s="12" t="str">
        <f t="shared" ca="1" si="1"/>
        <v/>
      </c>
      <c r="D57" s="12" t="str">
        <f t="shared" ca="1" si="2"/>
        <v/>
      </c>
      <c r="E57" s="240" t="str">
        <f t="shared" ca="1" si="3"/>
        <v/>
      </c>
      <c r="F57" s="13" t="str">
        <f t="shared" ca="1" si="4"/>
        <v/>
      </c>
      <c r="G57" s="13" t="str">
        <f t="shared" ca="1" si="5"/>
        <v/>
      </c>
      <c r="H57" s="14" t="str">
        <f t="shared" ca="1" si="6"/>
        <v/>
      </c>
      <c r="I57" s="15" t="s">
        <v>105</v>
      </c>
      <c r="J57" s="16">
        <v>0</v>
      </c>
      <c r="K57" s="16">
        <v>0</v>
      </c>
      <c r="L57" s="16">
        <v>0</v>
      </c>
      <c r="M57" s="12" t="str">
        <f t="shared" ca="1" si="7"/>
        <v/>
      </c>
      <c r="N57" s="12" t="str">
        <f t="shared" ca="1" si="8"/>
        <v/>
      </c>
      <c r="O57" s="12" t="str">
        <f t="shared" ca="1" si="30"/>
        <v/>
      </c>
      <c r="P57" s="16">
        <v>0</v>
      </c>
      <c r="Q57" s="312" t="str">
        <f t="shared" ca="1" si="10"/>
        <v/>
      </c>
      <c r="R57" s="241" t="str">
        <f t="shared" ca="1" si="11"/>
        <v/>
      </c>
      <c r="S57" s="312" t="str">
        <f t="shared" ca="1" si="12"/>
        <v/>
      </c>
      <c r="T57" s="241" t="str">
        <f t="shared" ca="1" si="13"/>
        <v/>
      </c>
      <c r="U57" s="312" t="str">
        <f t="shared" ca="1" si="14"/>
        <v/>
      </c>
      <c r="V57" s="241" t="str">
        <f t="shared" ca="1" si="15"/>
        <v/>
      </c>
      <c r="W57" s="312" t="str">
        <f t="shared" ca="1" si="16"/>
        <v/>
      </c>
      <c r="X57" s="241" t="str">
        <f t="shared" ca="1" si="17"/>
        <v/>
      </c>
      <c r="Y57" s="312" t="str">
        <f t="shared" ca="1" si="18"/>
        <v/>
      </c>
      <c r="Z57" s="241" t="str">
        <f t="shared" ca="1" si="19"/>
        <v/>
      </c>
      <c r="AA57" s="313" t="str">
        <f t="shared" ca="1" si="20"/>
        <v/>
      </c>
      <c r="AB57" s="241" t="str">
        <f t="shared" ca="1" si="21"/>
        <v/>
      </c>
      <c r="AD57" s="223" t="str">
        <f t="shared" ca="1" si="22"/>
        <v/>
      </c>
      <c r="AE57" s="223" t="str">
        <f t="shared" ca="1" si="23"/>
        <v/>
      </c>
      <c r="AF57" s="223" t="str">
        <f t="shared" ca="1" si="24"/>
        <v/>
      </c>
      <c r="AG57" s="223" t="str">
        <f t="shared" ca="1" si="25"/>
        <v/>
      </c>
      <c r="AH57" s="223" t="str">
        <f t="shared" ca="1" si="26"/>
        <v/>
      </c>
      <c r="AI57" s="223" t="str">
        <f t="shared" ca="1" si="27"/>
        <v/>
      </c>
      <c r="AJ57" s="223" t="str">
        <f t="shared" ca="1" si="28"/>
        <v/>
      </c>
      <c r="AK57" s="223" t="str">
        <f t="shared" ca="1" si="29"/>
        <v/>
      </c>
    </row>
    <row r="58" spans="1:37" x14ac:dyDescent="0.25">
      <c r="A58" s="10">
        <v>46</v>
      </c>
      <c r="B58" s="11" t="str">
        <f>IF(ISNONTEXT(Landcover!B50),"",Landcover!B50)</f>
        <v/>
      </c>
      <c r="C58" s="12" t="str">
        <f t="shared" ca="1" si="1"/>
        <v/>
      </c>
      <c r="D58" s="12" t="str">
        <f t="shared" ca="1" si="2"/>
        <v/>
      </c>
      <c r="E58" s="240" t="str">
        <f t="shared" ca="1" si="3"/>
        <v/>
      </c>
      <c r="F58" s="13" t="str">
        <f t="shared" ca="1" si="4"/>
        <v/>
      </c>
      <c r="G58" s="13" t="str">
        <f t="shared" ca="1" si="5"/>
        <v/>
      </c>
      <c r="H58" s="14" t="str">
        <f t="shared" ca="1" si="6"/>
        <v/>
      </c>
      <c r="I58" s="15" t="s">
        <v>105</v>
      </c>
      <c r="J58" s="16">
        <v>0</v>
      </c>
      <c r="K58" s="16">
        <v>0</v>
      </c>
      <c r="L58" s="16">
        <v>0</v>
      </c>
      <c r="M58" s="12" t="str">
        <f t="shared" ca="1" si="7"/>
        <v/>
      </c>
      <c r="N58" s="12" t="str">
        <f t="shared" ca="1" si="8"/>
        <v/>
      </c>
      <c r="O58" s="12" t="str">
        <f t="shared" ca="1" si="30"/>
        <v/>
      </c>
      <c r="P58" s="16">
        <v>0</v>
      </c>
      <c r="Q58" s="312" t="str">
        <f t="shared" ca="1" si="10"/>
        <v/>
      </c>
      <c r="R58" s="241" t="str">
        <f t="shared" ca="1" si="11"/>
        <v/>
      </c>
      <c r="S58" s="312" t="str">
        <f t="shared" ca="1" si="12"/>
        <v/>
      </c>
      <c r="T58" s="241" t="str">
        <f t="shared" ca="1" si="13"/>
        <v/>
      </c>
      <c r="U58" s="312" t="str">
        <f t="shared" ca="1" si="14"/>
        <v/>
      </c>
      <c r="V58" s="241" t="str">
        <f t="shared" ca="1" si="15"/>
        <v/>
      </c>
      <c r="W58" s="312" t="str">
        <f t="shared" ca="1" si="16"/>
        <v/>
      </c>
      <c r="X58" s="241" t="str">
        <f t="shared" ca="1" si="17"/>
        <v/>
      </c>
      <c r="Y58" s="312" t="str">
        <f t="shared" ca="1" si="18"/>
        <v/>
      </c>
      <c r="Z58" s="241" t="str">
        <f t="shared" ca="1" si="19"/>
        <v/>
      </c>
      <c r="AA58" s="313" t="str">
        <f t="shared" ca="1" si="20"/>
        <v/>
      </c>
      <c r="AB58" s="241" t="str">
        <f t="shared" ca="1" si="21"/>
        <v/>
      </c>
      <c r="AD58" s="223" t="str">
        <f t="shared" ca="1" si="22"/>
        <v/>
      </c>
      <c r="AE58" s="223" t="str">
        <f t="shared" ca="1" si="23"/>
        <v/>
      </c>
      <c r="AF58" s="223" t="str">
        <f t="shared" ca="1" si="24"/>
        <v/>
      </c>
      <c r="AG58" s="223" t="str">
        <f t="shared" ca="1" si="25"/>
        <v/>
      </c>
      <c r="AH58" s="223" t="str">
        <f t="shared" ca="1" si="26"/>
        <v/>
      </c>
      <c r="AI58" s="223" t="str">
        <f t="shared" ca="1" si="27"/>
        <v/>
      </c>
      <c r="AJ58" s="223" t="str">
        <f t="shared" ca="1" si="28"/>
        <v/>
      </c>
      <c r="AK58" s="223" t="str">
        <f t="shared" ca="1" si="29"/>
        <v/>
      </c>
    </row>
    <row r="59" spans="1:37" x14ac:dyDescent="0.25">
      <c r="A59" s="10">
        <v>47</v>
      </c>
      <c r="B59" s="11" t="str">
        <f>IF(ISNONTEXT(Landcover!B51),"",Landcover!B51)</f>
        <v/>
      </c>
      <c r="C59" s="12" t="str">
        <f t="shared" ca="1" si="1"/>
        <v/>
      </c>
      <c r="D59" s="12" t="str">
        <f t="shared" ca="1" si="2"/>
        <v/>
      </c>
      <c r="E59" s="240" t="str">
        <f t="shared" ca="1" si="3"/>
        <v/>
      </c>
      <c r="F59" s="13" t="str">
        <f t="shared" ca="1" si="4"/>
        <v/>
      </c>
      <c r="G59" s="13" t="str">
        <f t="shared" ca="1" si="5"/>
        <v/>
      </c>
      <c r="H59" s="14" t="str">
        <f t="shared" ca="1" si="6"/>
        <v/>
      </c>
      <c r="I59" s="15" t="s">
        <v>105</v>
      </c>
      <c r="J59" s="16">
        <v>0</v>
      </c>
      <c r="K59" s="16">
        <v>0</v>
      </c>
      <c r="L59" s="16">
        <v>0</v>
      </c>
      <c r="M59" s="12" t="str">
        <f t="shared" ca="1" si="7"/>
        <v/>
      </c>
      <c r="N59" s="12" t="str">
        <f t="shared" ca="1" si="8"/>
        <v/>
      </c>
      <c r="O59" s="12" t="str">
        <f t="shared" ca="1" si="30"/>
        <v/>
      </c>
      <c r="P59" s="16">
        <v>0</v>
      </c>
      <c r="Q59" s="312" t="str">
        <f t="shared" ca="1" si="10"/>
        <v/>
      </c>
      <c r="R59" s="241" t="str">
        <f t="shared" ca="1" si="11"/>
        <v/>
      </c>
      <c r="S59" s="312" t="str">
        <f t="shared" ca="1" si="12"/>
        <v/>
      </c>
      <c r="T59" s="241" t="str">
        <f t="shared" ca="1" si="13"/>
        <v/>
      </c>
      <c r="U59" s="312" t="str">
        <f t="shared" ca="1" si="14"/>
        <v/>
      </c>
      <c r="V59" s="241" t="str">
        <f t="shared" ca="1" si="15"/>
        <v/>
      </c>
      <c r="W59" s="312" t="str">
        <f t="shared" ca="1" si="16"/>
        <v/>
      </c>
      <c r="X59" s="241" t="str">
        <f t="shared" ca="1" si="17"/>
        <v/>
      </c>
      <c r="Y59" s="312" t="str">
        <f t="shared" ca="1" si="18"/>
        <v/>
      </c>
      <c r="Z59" s="241" t="str">
        <f t="shared" ca="1" si="19"/>
        <v/>
      </c>
      <c r="AA59" s="313" t="str">
        <f t="shared" ca="1" si="20"/>
        <v/>
      </c>
      <c r="AB59" s="241" t="str">
        <f t="shared" ca="1" si="21"/>
        <v/>
      </c>
      <c r="AD59" s="223" t="str">
        <f t="shared" ca="1" si="22"/>
        <v/>
      </c>
      <c r="AE59" s="223" t="str">
        <f t="shared" ca="1" si="23"/>
        <v/>
      </c>
      <c r="AF59" s="223" t="str">
        <f t="shared" ca="1" si="24"/>
        <v/>
      </c>
      <c r="AG59" s="223" t="str">
        <f t="shared" ca="1" si="25"/>
        <v/>
      </c>
      <c r="AH59" s="223" t="str">
        <f t="shared" ca="1" si="26"/>
        <v/>
      </c>
      <c r="AI59" s="223" t="str">
        <f t="shared" ca="1" si="27"/>
        <v/>
      </c>
      <c r="AJ59" s="223" t="str">
        <f t="shared" ca="1" si="28"/>
        <v/>
      </c>
      <c r="AK59" s="223" t="str">
        <f t="shared" ca="1" si="29"/>
        <v/>
      </c>
    </row>
    <row r="60" spans="1:37" x14ac:dyDescent="0.25">
      <c r="A60" s="10">
        <v>48</v>
      </c>
      <c r="B60" s="11" t="str">
        <f>IF(ISNONTEXT(Landcover!B52),"",Landcover!B52)</f>
        <v/>
      </c>
      <c r="C60" s="12" t="str">
        <f t="shared" ca="1" si="1"/>
        <v/>
      </c>
      <c r="D60" s="12" t="str">
        <f t="shared" ca="1" si="2"/>
        <v/>
      </c>
      <c r="E60" s="240" t="str">
        <f t="shared" ca="1" si="3"/>
        <v/>
      </c>
      <c r="F60" s="13" t="str">
        <f t="shared" ca="1" si="4"/>
        <v/>
      </c>
      <c r="G60" s="13" t="str">
        <f t="shared" ca="1" si="5"/>
        <v/>
      </c>
      <c r="H60" s="14" t="str">
        <f t="shared" ca="1" si="6"/>
        <v/>
      </c>
      <c r="I60" s="15" t="s">
        <v>105</v>
      </c>
      <c r="J60" s="16">
        <v>0</v>
      </c>
      <c r="K60" s="16">
        <v>0</v>
      </c>
      <c r="L60" s="16">
        <v>0</v>
      </c>
      <c r="M60" s="12" t="str">
        <f t="shared" ca="1" si="7"/>
        <v/>
      </c>
      <c r="N60" s="12" t="str">
        <f t="shared" ca="1" si="8"/>
        <v/>
      </c>
      <c r="O60" s="12" t="str">
        <f t="shared" ca="1" si="30"/>
        <v/>
      </c>
      <c r="P60" s="16">
        <v>0</v>
      </c>
      <c r="Q60" s="312" t="str">
        <f t="shared" ca="1" si="10"/>
        <v/>
      </c>
      <c r="R60" s="241" t="str">
        <f t="shared" ca="1" si="11"/>
        <v/>
      </c>
      <c r="S60" s="312" t="str">
        <f t="shared" ca="1" si="12"/>
        <v/>
      </c>
      <c r="T60" s="241" t="str">
        <f t="shared" ca="1" si="13"/>
        <v/>
      </c>
      <c r="U60" s="312" t="str">
        <f t="shared" ca="1" si="14"/>
        <v/>
      </c>
      <c r="V60" s="241" t="str">
        <f t="shared" ca="1" si="15"/>
        <v/>
      </c>
      <c r="W60" s="312" t="str">
        <f t="shared" ca="1" si="16"/>
        <v/>
      </c>
      <c r="X60" s="241" t="str">
        <f t="shared" ca="1" si="17"/>
        <v/>
      </c>
      <c r="Y60" s="312" t="str">
        <f t="shared" ca="1" si="18"/>
        <v/>
      </c>
      <c r="Z60" s="241" t="str">
        <f t="shared" ca="1" si="19"/>
        <v/>
      </c>
      <c r="AA60" s="313" t="str">
        <f t="shared" ca="1" si="20"/>
        <v/>
      </c>
      <c r="AB60" s="241" t="str">
        <f t="shared" ca="1" si="21"/>
        <v/>
      </c>
      <c r="AD60" s="223" t="str">
        <f t="shared" ca="1" si="22"/>
        <v/>
      </c>
      <c r="AE60" s="223" t="str">
        <f t="shared" ca="1" si="23"/>
        <v/>
      </c>
      <c r="AF60" s="223" t="str">
        <f t="shared" ca="1" si="24"/>
        <v/>
      </c>
      <c r="AG60" s="223" t="str">
        <f t="shared" ca="1" si="25"/>
        <v/>
      </c>
      <c r="AH60" s="223" t="str">
        <f t="shared" ca="1" si="26"/>
        <v/>
      </c>
      <c r="AI60" s="223" t="str">
        <f t="shared" ca="1" si="27"/>
        <v/>
      </c>
      <c r="AJ60" s="223" t="str">
        <f t="shared" ca="1" si="28"/>
        <v/>
      </c>
      <c r="AK60" s="223" t="str">
        <f t="shared" ca="1" si="29"/>
        <v/>
      </c>
    </row>
    <row r="61" spans="1:37" x14ac:dyDescent="0.25">
      <c r="A61" s="10">
        <v>49</v>
      </c>
      <c r="B61" s="11" t="str">
        <f>IF(ISNONTEXT(Landcover!B53),"",Landcover!B53)</f>
        <v/>
      </c>
      <c r="C61" s="12" t="str">
        <f t="shared" ca="1" si="1"/>
        <v/>
      </c>
      <c r="D61" s="12" t="str">
        <f t="shared" ca="1" si="2"/>
        <v/>
      </c>
      <c r="E61" s="240" t="str">
        <f t="shared" ca="1" si="3"/>
        <v/>
      </c>
      <c r="F61" s="13" t="str">
        <f t="shared" ca="1" si="4"/>
        <v/>
      </c>
      <c r="G61" s="13" t="str">
        <f t="shared" ca="1" si="5"/>
        <v/>
      </c>
      <c r="H61" s="14" t="str">
        <f t="shared" ca="1" si="6"/>
        <v/>
      </c>
      <c r="I61" s="15" t="s">
        <v>105</v>
      </c>
      <c r="J61" s="16">
        <v>0</v>
      </c>
      <c r="K61" s="16">
        <v>0</v>
      </c>
      <c r="L61" s="16">
        <v>0</v>
      </c>
      <c r="M61" s="12" t="str">
        <f t="shared" ca="1" si="7"/>
        <v/>
      </c>
      <c r="N61" s="12" t="str">
        <f t="shared" ca="1" si="8"/>
        <v/>
      </c>
      <c r="O61" s="12" t="str">
        <f t="shared" ca="1" si="30"/>
        <v/>
      </c>
      <c r="P61" s="16">
        <v>0</v>
      </c>
      <c r="Q61" s="312" t="str">
        <f t="shared" ca="1" si="10"/>
        <v/>
      </c>
      <c r="R61" s="241" t="str">
        <f t="shared" ca="1" si="11"/>
        <v/>
      </c>
      <c r="S61" s="312" t="str">
        <f t="shared" ca="1" si="12"/>
        <v/>
      </c>
      <c r="T61" s="241" t="str">
        <f t="shared" ca="1" si="13"/>
        <v/>
      </c>
      <c r="U61" s="312" t="str">
        <f t="shared" ca="1" si="14"/>
        <v/>
      </c>
      <c r="V61" s="241" t="str">
        <f t="shared" ca="1" si="15"/>
        <v/>
      </c>
      <c r="W61" s="312" t="str">
        <f t="shared" ca="1" si="16"/>
        <v/>
      </c>
      <c r="X61" s="241" t="str">
        <f t="shared" ca="1" si="17"/>
        <v/>
      </c>
      <c r="Y61" s="312" t="str">
        <f t="shared" ca="1" si="18"/>
        <v/>
      </c>
      <c r="Z61" s="241" t="str">
        <f t="shared" ca="1" si="19"/>
        <v/>
      </c>
      <c r="AA61" s="313" t="str">
        <f t="shared" ca="1" si="20"/>
        <v/>
      </c>
      <c r="AB61" s="241" t="str">
        <f t="shared" ca="1" si="21"/>
        <v/>
      </c>
      <c r="AD61" s="223" t="str">
        <f t="shared" ca="1" si="22"/>
        <v/>
      </c>
      <c r="AE61" s="223" t="str">
        <f t="shared" ca="1" si="23"/>
        <v/>
      </c>
      <c r="AF61" s="223" t="str">
        <f t="shared" ca="1" si="24"/>
        <v/>
      </c>
      <c r="AG61" s="223" t="str">
        <f t="shared" ca="1" si="25"/>
        <v/>
      </c>
      <c r="AH61" s="223" t="str">
        <f t="shared" ca="1" si="26"/>
        <v/>
      </c>
      <c r="AI61" s="223" t="str">
        <f t="shared" ca="1" si="27"/>
        <v/>
      </c>
      <c r="AJ61" s="223" t="str">
        <f t="shared" ca="1" si="28"/>
        <v/>
      </c>
      <c r="AK61" s="223" t="str">
        <f t="shared" ca="1" si="29"/>
        <v/>
      </c>
    </row>
    <row r="62" spans="1:37" x14ac:dyDescent="0.25">
      <c r="A62" s="10">
        <v>50</v>
      </c>
      <c r="B62" s="11" t="str">
        <f>IF(ISNONTEXT(Landcover!B54),"",Landcover!B54)</f>
        <v/>
      </c>
      <c r="C62" s="12" t="str">
        <f t="shared" ca="1" si="1"/>
        <v/>
      </c>
      <c r="D62" s="12" t="str">
        <f t="shared" ca="1" si="2"/>
        <v/>
      </c>
      <c r="E62" s="240" t="str">
        <f t="shared" ca="1" si="3"/>
        <v/>
      </c>
      <c r="F62" s="13" t="str">
        <f t="shared" ca="1" si="4"/>
        <v/>
      </c>
      <c r="G62" s="13" t="str">
        <f t="shared" ca="1" si="5"/>
        <v/>
      </c>
      <c r="H62" s="14" t="str">
        <f t="shared" ca="1" si="6"/>
        <v/>
      </c>
      <c r="I62" s="15" t="s">
        <v>105</v>
      </c>
      <c r="J62" s="16">
        <v>0</v>
      </c>
      <c r="K62" s="16">
        <v>0</v>
      </c>
      <c r="L62" s="16">
        <v>0</v>
      </c>
      <c r="M62" s="12" t="str">
        <f t="shared" ca="1" si="7"/>
        <v/>
      </c>
      <c r="N62" s="12" t="str">
        <f t="shared" ca="1" si="8"/>
        <v/>
      </c>
      <c r="O62" s="12" t="str">
        <f t="shared" ca="1" si="30"/>
        <v/>
      </c>
      <c r="P62" s="16">
        <v>0</v>
      </c>
      <c r="Q62" s="312" t="str">
        <f t="shared" ca="1" si="10"/>
        <v/>
      </c>
      <c r="R62" s="241" t="str">
        <f t="shared" ca="1" si="11"/>
        <v/>
      </c>
      <c r="S62" s="312" t="str">
        <f t="shared" ca="1" si="12"/>
        <v/>
      </c>
      <c r="T62" s="241" t="str">
        <f t="shared" ca="1" si="13"/>
        <v/>
      </c>
      <c r="U62" s="312" t="str">
        <f t="shared" ca="1" si="14"/>
        <v/>
      </c>
      <c r="V62" s="241" t="str">
        <f t="shared" ca="1" si="15"/>
        <v/>
      </c>
      <c r="W62" s="312" t="str">
        <f t="shared" ca="1" si="16"/>
        <v/>
      </c>
      <c r="X62" s="241" t="str">
        <f t="shared" ca="1" si="17"/>
        <v/>
      </c>
      <c r="Y62" s="312" t="str">
        <f t="shared" ca="1" si="18"/>
        <v/>
      </c>
      <c r="Z62" s="241" t="str">
        <f t="shared" ca="1" si="19"/>
        <v/>
      </c>
      <c r="AA62" s="313" t="str">
        <f t="shared" ca="1" si="20"/>
        <v/>
      </c>
      <c r="AB62" s="241" t="str">
        <f t="shared" ca="1" si="21"/>
        <v/>
      </c>
      <c r="AD62" s="223" t="str">
        <f t="shared" ca="1" si="22"/>
        <v/>
      </c>
      <c r="AE62" s="223" t="str">
        <f t="shared" ca="1" si="23"/>
        <v/>
      </c>
      <c r="AF62" s="223" t="str">
        <f t="shared" ca="1" si="24"/>
        <v/>
      </c>
      <c r="AG62" s="223" t="str">
        <f t="shared" ca="1" si="25"/>
        <v/>
      </c>
      <c r="AH62" s="223" t="str">
        <f t="shared" ca="1" si="26"/>
        <v/>
      </c>
      <c r="AI62" s="223" t="str">
        <f t="shared" ca="1" si="27"/>
        <v/>
      </c>
      <c r="AJ62" s="223" t="str">
        <f t="shared" ca="1" si="28"/>
        <v/>
      </c>
      <c r="AK62" s="223" t="str">
        <f t="shared" ca="1" si="29"/>
        <v/>
      </c>
    </row>
    <row r="63" spans="1:37" x14ac:dyDescent="0.25">
      <c r="A63" s="10">
        <v>51</v>
      </c>
      <c r="B63" s="11" t="str">
        <f>IF(ISNONTEXT(Landcover!B55),"",Landcover!B55)</f>
        <v/>
      </c>
      <c r="C63" s="12" t="str">
        <f t="shared" ca="1" si="1"/>
        <v/>
      </c>
      <c r="D63" s="12" t="str">
        <f t="shared" ca="1" si="2"/>
        <v/>
      </c>
      <c r="E63" s="240" t="str">
        <f t="shared" ca="1" si="3"/>
        <v/>
      </c>
      <c r="F63" s="13" t="str">
        <f t="shared" ca="1" si="4"/>
        <v/>
      </c>
      <c r="G63" s="13" t="str">
        <f t="shared" ca="1" si="5"/>
        <v/>
      </c>
      <c r="H63" s="14" t="str">
        <f t="shared" ca="1" si="6"/>
        <v/>
      </c>
      <c r="I63" s="15" t="s">
        <v>105</v>
      </c>
      <c r="J63" s="16">
        <v>0</v>
      </c>
      <c r="K63" s="16">
        <v>0</v>
      </c>
      <c r="L63" s="16">
        <v>0</v>
      </c>
      <c r="M63" s="12" t="str">
        <f t="shared" ca="1" si="7"/>
        <v/>
      </c>
      <c r="N63" s="12" t="str">
        <f t="shared" ca="1" si="8"/>
        <v/>
      </c>
      <c r="O63" s="12" t="str">
        <f t="shared" ca="1" si="30"/>
        <v/>
      </c>
      <c r="P63" s="16">
        <v>0</v>
      </c>
      <c r="Q63" s="312" t="str">
        <f t="shared" ca="1" si="10"/>
        <v/>
      </c>
      <c r="R63" s="241" t="str">
        <f t="shared" ca="1" si="11"/>
        <v/>
      </c>
      <c r="S63" s="312" t="str">
        <f t="shared" ca="1" si="12"/>
        <v/>
      </c>
      <c r="T63" s="241" t="str">
        <f t="shared" ca="1" si="13"/>
        <v/>
      </c>
      <c r="U63" s="312" t="str">
        <f t="shared" ca="1" si="14"/>
        <v/>
      </c>
      <c r="V63" s="241" t="str">
        <f t="shared" ca="1" si="15"/>
        <v/>
      </c>
      <c r="W63" s="312" t="str">
        <f t="shared" ca="1" si="16"/>
        <v/>
      </c>
      <c r="X63" s="241" t="str">
        <f t="shared" ca="1" si="17"/>
        <v/>
      </c>
      <c r="Y63" s="312" t="str">
        <f t="shared" ca="1" si="18"/>
        <v/>
      </c>
      <c r="Z63" s="241" t="str">
        <f t="shared" ca="1" si="19"/>
        <v/>
      </c>
      <c r="AA63" s="313" t="str">
        <f t="shared" ca="1" si="20"/>
        <v/>
      </c>
      <c r="AB63" s="241" t="str">
        <f t="shared" ca="1" si="21"/>
        <v/>
      </c>
      <c r="AD63" s="223" t="str">
        <f t="shared" ca="1" si="22"/>
        <v/>
      </c>
      <c r="AE63" s="223" t="str">
        <f t="shared" ca="1" si="23"/>
        <v/>
      </c>
      <c r="AF63" s="223" t="str">
        <f t="shared" ca="1" si="24"/>
        <v/>
      </c>
      <c r="AG63" s="223" t="str">
        <f t="shared" ca="1" si="25"/>
        <v/>
      </c>
      <c r="AH63" s="223" t="str">
        <f t="shared" ca="1" si="26"/>
        <v/>
      </c>
      <c r="AI63" s="223" t="str">
        <f t="shared" ca="1" si="27"/>
        <v/>
      </c>
      <c r="AJ63" s="223" t="str">
        <f t="shared" ca="1" si="28"/>
        <v/>
      </c>
      <c r="AK63" s="223" t="str">
        <f t="shared" ca="1" si="29"/>
        <v/>
      </c>
    </row>
    <row r="64" spans="1:37" x14ac:dyDescent="0.25">
      <c r="A64" s="10">
        <v>52</v>
      </c>
      <c r="B64" s="11" t="str">
        <f>IF(ISNONTEXT(Landcover!B56),"",Landcover!B56)</f>
        <v/>
      </c>
      <c r="C64" s="12" t="str">
        <f t="shared" ca="1" si="1"/>
        <v/>
      </c>
      <c r="D64" s="12" t="str">
        <f t="shared" ca="1" si="2"/>
        <v/>
      </c>
      <c r="E64" s="240" t="str">
        <f t="shared" ca="1" si="3"/>
        <v/>
      </c>
      <c r="F64" s="13" t="str">
        <f t="shared" ca="1" si="4"/>
        <v/>
      </c>
      <c r="G64" s="13" t="str">
        <f t="shared" ca="1" si="5"/>
        <v/>
      </c>
      <c r="H64" s="14" t="str">
        <f t="shared" ca="1" si="6"/>
        <v/>
      </c>
      <c r="I64" s="15" t="s">
        <v>105</v>
      </c>
      <c r="J64" s="16">
        <v>0</v>
      </c>
      <c r="K64" s="16">
        <v>0</v>
      </c>
      <c r="L64" s="16">
        <v>0</v>
      </c>
      <c r="M64" s="12" t="str">
        <f t="shared" ca="1" si="7"/>
        <v/>
      </c>
      <c r="N64" s="12" t="str">
        <f t="shared" ca="1" si="8"/>
        <v/>
      </c>
      <c r="O64" s="12" t="str">
        <f t="shared" ca="1" si="30"/>
        <v/>
      </c>
      <c r="P64" s="16">
        <v>0</v>
      </c>
      <c r="Q64" s="312" t="str">
        <f t="shared" ca="1" si="10"/>
        <v/>
      </c>
      <c r="R64" s="241" t="str">
        <f t="shared" ca="1" si="11"/>
        <v/>
      </c>
      <c r="S64" s="312" t="str">
        <f t="shared" ca="1" si="12"/>
        <v/>
      </c>
      <c r="T64" s="241" t="str">
        <f t="shared" ca="1" si="13"/>
        <v/>
      </c>
      <c r="U64" s="312" t="str">
        <f t="shared" ca="1" si="14"/>
        <v/>
      </c>
      <c r="V64" s="241" t="str">
        <f t="shared" ca="1" si="15"/>
        <v/>
      </c>
      <c r="W64" s="312" t="str">
        <f t="shared" ca="1" si="16"/>
        <v/>
      </c>
      <c r="X64" s="241" t="str">
        <f t="shared" ca="1" si="17"/>
        <v/>
      </c>
      <c r="Y64" s="312" t="str">
        <f t="shared" ca="1" si="18"/>
        <v/>
      </c>
      <c r="Z64" s="241" t="str">
        <f t="shared" ca="1" si="19"/>
        <v/>
      </c>
      <c r="AA64" s="313" t="str">
        <f t="shared" ca="1" si="20"/>
        <v/>
      </c>
      <c r="AB64" s="241" t="str">
        <f t="shared" ca="1" si="21"/>
        <v/>
      </c>
      <c r="AD64" s="223" t="str">
        <f t="shared" ca="1" si="22"/>
        <v/>
      </c>
      <c r="AE64" s="223" t="str">
        <f t="shared" ca="1" si="23"/>
        <v/>
      </c>
      <c r="AF64" s="223" t="str">
        <f t="shared" ca="1" si="24"/>
        <v/>
      </c>
      <c r="AG64" s="223" t="str">
        <f t="shared" ca="1" si="25"/>
        <v/>
      </c>
      <c r="AH64" s="223" t="str">
        <f t="shared" ca="1" si="26"/>
        <v/>
      </c>
      <c r="AI64" s="223" t="str">
        <f t="shared" ca="1" si="27"/>
        <v/>
      </c>
      <c r="AJ64" s="223" t="str">
        <f t="shared" ca="1" si="28"/>
        <v/>
      </c>
      <c r="AK64" s="223" t="str">
        <f t="shared" ca="1" si="29"/>
        <v/>
      </c>
    </row>
    <row r="65" spans="1:37" x14ac:dyDescent="0.25">
      <c r="A65" s="10">
        <v>53</v>
      </c>
      <c r="B65" s="11" t="str">
        <f>IF(ISNONTEXT(Landcover!B57),"",Landcover!B57)</f>
        <v/>
      </c>
      <c r="C65" s="12" t="str">
        <f t="shared" ca="1" si="1"/>
        <v/>
      </c>
      <c r="D65" s="12" t="str">
        <f t="shared" ca="1" si="2"/>
        <v/>
      </c>
      <c r="E65" s="240" t="str">
        <f t="shared" ca="1" si="3"/>
        <v/>
      </c>
      <c r="F65" s="13" t="str">
        <f t="shared" ca="1" si="4"/>
        <v/>
      </c>
      <c r="G65" s="13" t="str">
        <f t="shared" ca="1" si="5"/>
        <v/>
      </c>
      <c r="H65" s="14" t="str">
        <f t="shared" ca="1" si="6"/>
        <v/>
      </c>
      <c r="I65" s="15" t="s">
        <v>105</v>
      </c>
      <c r="J65" s="16">
        <v>0</v>
      </c>
      <c r="K65" s="16">
        <v>0</v>
      </c>
      <c r="L65" s="16">
        <v>0</v>
      </c>
      <c r="M65" s="12" t="str">
        <f t="shared" ca="1" si="7"/>
        <v/>
      </c>
      <c r="N65" s="12" t="str">
        <f t="shared" ca="1" si="8"/>
        <v/>
      </c>
      <c r="O65" s="12" t="str">
        <f t="shared" ca="1" si="30"/>
        <v/>
      </c>
      <c r="P65" s="16">
        <v>0</v>
      </c>
      <c r="Q65" s="312" t="str">
        <f t="shared" ca="1" si="10"/>
        <v/>
      </c>
      <c r="R65" s="241" t="str">
        <f t="shared" ca="1" si="11"/>
        <v/>
      </c>
      <c r="S65" s="312" t="str">
        <f t="shared" ca="1" si="12"/>
        <v/>
      </c>
      <c r="T65" s="241" t="str">
        <f t="shared" ca="1" si="13"/>
        <v/>
      </c>
      <c r="U65" s="312" t="str">
        <f t="shared" ca="1" si="14"/>
        <v/>
      </c>
      <c r="V65" s="241" t="str">
        <f t="shared" ca="1" si="15"/>
        <v/>
      </c>
      <c r="W65" s="312" t="str">
        <f t="shared" ca="1" si="16"/>
        <v/>
      </c>
      <c r="X65" s="241" t="str">
        <f t="shared" ca="1" si="17"/>
        <v/>
      </c>
      <c r="Y65" s="312" t="str">
        <f t="shared" ca="1" si="18"/>
        <v/>
      </c>
      <c r="Z65" s="241" t="str">
        <f t="shared" ca="1" si="19"/>
        <v/>
      </c>
      <c r="AA65" s="313" t="str">
        <f t="shared" ca="1" si="20"/>
        <v/>
      </c>
      <c r="AB65" s="241" t="str">
        <f t="shared" ca="1" si="21"/>
        <v/>
      </c>
      <c r="AD65" s="223" t="str">
        <f t="shared" ca="1" si="22"/>
        <v/>
      </c>
      <c r="AE65" s="223" t="str">
        <f t="shared" ca="1" si="23"/>
        <v/>
      </c>
      <c r="AF65" s="223" t="str">
        <f t="shared" ca="1" si="24"/>
        <v/>
      </c>
      <c r="AG65" s="223" t="str">
        <f t="shared" ca="1" si="25"/>
        <v/>
      </c>
      <c r="AH65" s="223" t="str">
        <f t="shared" ca="1" si="26"/>
        <v/>
      </c>
      <c r="AI65" s="223" t="str">
        <f t="shared" ca="1" si="27"/>
        <v/>
      </c>
      <c r="AJ65" s="223" t="str">
        <f t="shared" ca="1" si="28"/>
        <v/>
      </c>
      <c r="AK65" s="223" t="str">
        <f t="shared" ca="1" si="29"/>
        <v/>
      </c>
    </row>
    <row r="66" spans="1:37" x14ac:dyDescent="0.25">
      <c r="A66" s="10">
        <v>54</v>
      </c>
      <c r="B66" s="11" t="str">
        <f>IF(ISNONTEXT(Landcover!B58),"",Landcover!B58)</f>
        <v/>
      </c>
      <c r="C66" s="12" t="str">
        <f t="shared" ca="1" si="1"/>
        <v/>
      </c>
      <c r="D66" s="12" t="str">
        <f t="shared" ca="1" si="2"/>
        <v/>
      </c>
      <c r="E66" s="240" t="str">
        <f t="shared" ca="1" si="3"/>
        <v/>
      </c>
      <c r="F66" s="13" t="str">
        <f t="shared" ca="1" si="4"/>
        <v/>
      </c>
      <c r="G66" s="13" t="str">
        <f t="shared" ca="1" si="5"/>
        <v/>
      </c>
      <c r="H66" s="14" t="str">
        <f t="shared" ca="1" si="6"/>
        <v/>
      </c>
      <c r="I66" s="15" t="s">
        <v>105</v>
      </c>
      <c r="J66" s="16">
        <v>0</v>
      </c>
      <c r="K66" s="16">
        <v>0</v>
      </c>
      <c r="L66" s="16">
        <v>0</v>
      </c>
      <c r="M66" s="12" t="str">
        <f t="shared" ca="1" si="7"/>
        <v/>
      </c>
      <c r="N66" s="12" t="str">
        <f t="shared" ca="1" si="8"/>
        <v/>
      </c>
      <c r="O66" s="12" t="str">
        <f t="shared" ca="1" si="30"/>
        <v/>
      </c>
      <c r="P66" s="16">
        <v>0</v>
      </c>
      <c r="Q66" s="312" t="str">
        <f t="shared" ca="1" si="10"/>
        <v/>
      </c>
      <c r="R66" s="241" t="str">
        <f t="shared" ca="1" si="11"/>
        <v/>
      </c>
      <c r="S66" s="312" t="str">
        <f t="shared" ca="1" si="12"/>
        <v/>
      </c>
      <c r="T66" s="241" t="str">
        <f t="shared" ca="1" si="13"/>
        <v/>
      </c>
      <c r="U66" s="312" t="str">
        <f t="shared" ca="1" si="14"/>
        <v/>
      </c>
      <c r="V66" s="241" t="str">
        <f t="shared" ca="1" si="15"/>
        <v/>
      </c>
      <c r="W66" s="312" t="str">
        <f t="shared" ca="1" si="16"/>
        <v/>
      </c>
      <c r="X66" s="241" t="str">
        <f t="shared" ca="1" si="17"/>
        <v/>
      </c>
      <c r="Y66" s="312" t="str">
        <f t="shared" ca="1" si="18"/>
        <v/>
      </c>
      <c r="Z66" s="241" t="str">
        <f t="shared" ca="1" si="19"/>
        <v/>
      </c>
      <c r="AA66" s="313" t="str">
        <f t="shared" ca="1" si="20"/>
        <v/>
      </c>
      <c r="AB66" s="241" t="str">
        <f t="shared" ca="1" si="21"/>
        <v/>
      </c>
      <c r="AD66" s="223" t="str">
        <f t="shared" ca="1" si="22"/>
        <v/>
      </c>
      <c r="AE66" s="223" t="str">
        <f t="shared" ca="1" si="23"/>
        <v/>
      </c>
      <c r="AF66" s="223" t="str">
        <f t="shared" ca="1" si="24"/>
        <v/>
      </c>
      <c r="AG66" s="223" t="str">
        <f t="shared" ca="1" si="25"/>
        <v/>
      </c>
      <c r="AH66" s="223" t="str">
        <f t="shared" ca="1" si="26"/>
        <v/>
      </c>
      <c r="AI66" s="223" t="str">
        <f t="shared" ca="1" si="27"/>
        <v/>
      </c>
      <c r="AJ66" s="223" t="str">
        <f t="shared" ca="1" si="28"/>
        <v/>
      </c>
      <c r="AK66" s="223" t="str">
        <f t="shared" ca="1" si="29"/>
        <v/>
      </c>
    </row>
    <row r="67" spans="1:37" x14ac:dyDescent="0.25">
      <c r="A67" s="10">
        <v>55</v>
      </c>
      <c r="B67" s="11" t="str">
        <f>IF(ISNONTEXT(Landcover!B59),"",Landcover!B59)</f>
        <v/>
      </c>
      <c r="C67" s="12" t="str">
        <f t="shared" ca="1" si="1"/>
        <v/>
      </c>
      <c r="D67" s="12" t="str">
        <f t="shared" ca="1" si="2"/>
        <v/>
      </c>
      <c r="E67" s="240" t="str">
        <f t="shared" ca="1" si="3"/>
        <v/>
      </c>
      <c r="F67" s="13" t="str">
        <f t="shared" ca="1" si="4"/>
        <v/>
      </c>
      <c r="G67" s="13" t="str">
        <f t="shared" ca="1" si="5"/>
        <v/>
      </c>
      <c r="H67" s="14" t="str">
        <f t="shared" ca="1" si="6"/>
        <v/>
      </c>
      <c r="I67" s="15" t="s">
        <v>105</v>
      </c>
      <c r="J67" s="16">
        <v>0</v>
      </c>
      <c r="K67" s="16">
        <v>0</v>
      </c>
      <c r="L67" s="16">
        <v>0</v>
      </c>
      <c r="M67" s="12" t="str">
        <f t="shared" ca="1" si="7"/>
        <v/>
      </c>
      <c r="N67" s="12" t="str">
        <f t="shared" ca="1" si="8"/>
        <v/>
      </c>
      <c r="O67" s="12" t="str">
        <f t="shared" ca="1" si="30"/>
        <v/>
      </c>
      <c r="P67" s="16">
        <v>0</v>
      </c>
      <c r="Q67" s="312" t="str">
        <f t="shared" ca="1" si="10"/>
        <v/>
      </c>
      <c r="R67" s="241" t="str">
        <f t="shared" ca="1" si="11"/>
        <v/>
      </c>
      <c r="S67" s="312" t="str">
        <f t="shared" ca="1" si="12"/>
        <v/>
      </c>
      <c r="T67" s="241" t="str">
        <f t="shared" ca="1" si="13"/>
        <v/>
      </c>
      <c r="U67" s="312" t="str">
        <f t="shared" ca="1" si="14"/>
        <v/>
      </c>
      <c r="V67" s="241" t="str">
        <f t="shared" ca="1" si="15"/>
        <v/>
      </c>
      <c r="W67" s="312" t="str">
        <f t="shared" ca="1" si="16"/>
        <v/>
      </c>
      <c r="X67" s="241" t="str">
        <f t="shared" ca="1" si="17"/>
        <v/>
      </c>
      <c r="Y67" s="312" t="str">
        <f t="shared" ca="1" si="18"/>
        <v/>
      </c>
      <c r="Z67" s="241" t="str">
        <f t="shared" ca="1" si="19"/>
        <v/>
      </c>
      <c r="AA67" s="313" t="str">
        <f t="shared" ca="1" si="20"/>
        <v/>
      </c>
      <c r="AB67" s="241" t="str">
        <f t="shared" ca="1" si="21"/>
        <v/>
      </c>
      <c r="AD67" s="223" t="str">
        <f t="shared" ca="1" si="22"/>
        <v/>
      </c>
      <c r="AE67" s="223" t="str">
        <f t="shared" ca="1" si="23"/>
        <v/>
      </c>
      <c r="AF67" s="223" t="str">
        <f t="shared" ca="1" si="24"/>
        <v/>
      </c>
      <c r="AG67" s="223" t="str">
        <f t="shared" ca="1" si="25"/>
        <v/>
      </c>
      <c r="AH67" s="223" t="str">
        <f t="shared" ca="1" si="26"/>
        <v/>
      </c>
      <c r="AI67" s="223" t="str">
        <f t="shared" ca="1" si="27"/>
        <v/>
      </c>
      <c r="AJ67" s="223" t="str">
        <f t="shared" ca="1" si="28"/>
        <v/>
      </c>
      <c r="AK67" s="223" t="str">
        <f t="shared" ca="1" si="29"/>
        <v/>
      </c>
    </row>
    <row r="68" spans="1:37" x14ac:dyDescent="0.25">
      <c r="A68" s="10">
        <v>56</v>
      </c>
      <c r="B68" s="11" t="str">
        <f>IF(ISNONTEXT(Landcover!B60),"",Landcover!B60)</f>
        <v/>
      </c>
      <c r="C68" s="12" t="str">
        <f t="shared" ca="1" si="1"/>
        <v/>
      </c>
      <c r="D68" s="12" t="str">
        <f t="shared" ca="1" si="2"/>
        <v/>
      </c>
      <c r="E68" s="240" t="str">
        <f t="shared" ca="1" si="3"/>
        <v/>
      </c>
      <c r="F68" s="13" t="str">
        <f t="shared" ca="1" si="4"/>
        <v/>
      </c>
      <c r="G68" s="13" t="str">
        <f t="shared" ca="1" si="5"/>
        <v/>
      </c>
      <c r="H68" s="14" t="str">
        <f t="shared" ca="1" si="6"/>
        <v/>
      </c>
      <c r="I68" s="15" t="s">
        <v>105</v>
      </c>
      <c r="J68" s="16">
        <v>0</v>
      </c>
      <c r="K68" s="16">
        <v>0</v>
      </c>
      <c r="L68" s="16">
        <v>0</v>
      </c>
      <c r="M68" s="12" t="str">
        <f t="shared" ca="1" si="7"/>
        <v/>
      </c>
      <c r="N68" s="12" t="str">
        <f t="shared" ca="1" si="8"/>
        <v/>
      </c>
      <c r="O68" s="12" t="str">
        <f t="shared" ca="1" si="30"/>
        <v/>
      </c>
      <c r="P68" s="16">
        <v>0</v>
      </c>
      <c r="Q68" s="312" t="str">
        <f t="shared" ca="1" si="10"/>
        <v/>
      </c>
      <c r="R68" s="241" t="str">
        <f t="shared" ca="1" si="11"/>
        <v/>
      </c>
      <c r="S68" s="312" t="str">
        <f t="shared" ca="1" si="12"/>
        <v/>
      </c>
      <c r="T68" s="241" t="str">
        <f t="shared" ca="1" si="13"/>
        <v/>
      </c>
      <c r="U68" s="312" t="str">
        <f t="shared" ca="1" si="14"/>
        <v/>
      </c>
      <c r="V68" s="241" t="str">
        <f t="shared" ca="1" si="15"/>
        <v/>
      </c>
      <c r="W68" s="312" t="str">
        <f t="shared" ca="1" si="16"/>
        <v/>
      </c>
      <c r="X68" s="241" t="str">
        <f t="shared" ca="1" si="17"/>
        <v/>
      </c>
      <c r="Y68" s="312" t="str">
        <f t="shared" ca="1" si="18"/>
        <v/>
      </c>
      <c r="Z68" s="241" t="str">
        <f t="shared" ca="1" si="19"/>
        <v/>
      </c>
      <c r="AA68" s="313" t="str">
        <f t="shared" ca="1" si="20"/>
        <v/>
      </c>
      <c r="AB68" s="241" t="str">
        <f t="shared" ca="1" si="21"/>
        <v/>
      </c>
      <c r="AD68" s="223" t="str">
        <f t="shared" ca="1" si="22"/>
        <v/>
      </c>
      <c r="AE68" s="223" t="str">
        <f t="shared" ca="1" si="23"/>
        <v/>
      </c>
      <c r="AF68" s="223" t="str">
        <f t="shared" ca="1" si="24"/>
        <v/>
      </c>
      <c r="AG68" s="223" t="str">
        <f t="shared" ca="1" si="25"/>
        <v/>
      </c>
      <c r="AH68" s="223" t="str">
        <f t="shared" ca="1" si="26"/>
        <v/>
      </c>
      <c r="AI68" s="223" t="str">
        <f t="shared" ca="1" si="27"/>
        <v/>
      </c>
      <c r="AJ68" s="223" t="str">
        <f t="shared" ca="1" si="28"/>
        <v/>
      </c>
      <c r="AK68" s="223" t="str">
        <f t="shared" ca="1" si="29"/>
        <v/>
      </c>
    </row>
    <row r="69" spans="1:37" x14ac:dyDescent="0.25">
      <c r="A69" s="10">
        <v>57</v>
      </c>
      <c r="B69" s="11" t="str">
        <f>IF(ISNONTEXT(Landcover!B61),"",Landcover!B61)</f>
        <v/>
      </c>
      <c r="C69" s="12" t="str">
        <f t="shared" ca="1" si="1"/>
        <v/>
      </c>
      <c r="D69" s="12" t="str">
        <f t="shared" ca="1" si="2"/>
        <v/>
      </c>
      <c r="E69" s="240" t="str">
        <f t="shared" ca="1" si="3"/>
        <v/>
      </c>
      <c r="F69" s="13" t="str">
        <f t="shared" ca="1" si="4"/>
        <v/>
      </c>
      <c r="G69" s="13" t="str">
        <f t="shared" ca="1" si="5"/>
        <v/>
      </c>
      <c r="H69" s="14" t="str">
        <f t="shared" ca="1" si="6"/>
        <v/>
      </c>
      <c r="I69" s="15" t="s">
        <v>105</v>
      </c>
      <c r="J69" s="16">
        <v>0</v>
      </c>
      <c r="K69" s="16">
        <v>0</v>
      </c>
      <c r="L69" s="16">
        <v>0</v>
      </c>
      <c r="M69" s="12" t="str">
        <f t="shared" ca="1" si="7"/>
        <v/>
      </c>
      <c r="N69" s="12" t="str">
        <f t="shared" ca="1" si="8"/>
        <v/>
      </c>
      <c r="O69" s="12" t="str">
        <f t="shared" ca="1" si="30"/>
        <v/>
      </c>
      <c r="P69" s="16">
        <v>0</v>
      </c>
      <c r="Q69" s="312" t="str">
        <f t="shared" ca="1" si="10"/>
        <v/>
      </c>
      <c r="R69" s="241" t="str">
        <f t="shared" ca="1" si="11"/>
        <v/>
      </c>
      <c r="S69" s="312" t="str">
        <f t="shared" ca="1" si="12"/>
        <v/>
      </c>
      <c r="T69" s="241" t="str">
        <f t="shared" ca="1" si="13"/>
        <v/>
      </c>
      <c r="U69" s="312" t="str">
        <f t="shared" ca="1" si="14"/>
        <v/>
      </c>
      <c r="V69" s="241" t="str">
        <f t="shared" ca="1" si="15"/>
        <v/>
      </c>
      <c r="W69" s="312" t="str">
        <f t="shared" ca="1" si="16"/>
        <v/>
      </c>
      <c r="X69" s="241" t="str">
        <f t="shared" ca="1" si="17"/>
        <v/>
      </c>
      <c r="Y69" s="312" t="str">
        <f t="shared" ca="1" si="18"/>
        <v/>
      </c>
      <c r="Z69" s="241" t="str">
        <f t="shared" ca="1" si="19"/>
        <v/>
      </c>
      <c r="AA69" s="313" t="str">
        <f t="shared" ca="1" si="20"/>
        <v/>
      </c>
      <c r="AB69" s="241" t="str">
        <f t="shared" ca="1" si="21"/>
        <v/>
      </c>
      <c r="AD69" s="223" t="str">
        <f t="shared" ca="1" si="22"/>
        <v/>
      </c>
      <c r="AE69" s="223" t="str">
        <f t="shared" ca="1" si="23"/>
        <v/>
      </c>
      <c r="AF69" s="223" t="str">
        <f t="shared" ca="1" si="24"/>
        <v/>
      </c>
      <c r="AG69" s="223" t="str">
        <f t="shared" ca="1" si="25"/>
        <v/>
      </c>
      <c r="AH69" s="223" t="str">
        <f t="shared" ca="1" si="26"/>
        <v/>
      </c>
      <c r="AI69" s="223" t="str">
        <f t="shared" ca="1" si="27"/>
        <v/>
      </c>
      <c r="AJ69" s="223" t="str">
        <f t="shared" ca="1" si="28"/>
        <v/>
      </c>
      <c r="AK69" s="223" t="str">
        <f t="shared" ca="1" si="29"/>
        <v/>
      </c>
    </row>
    <row r="70" spans="1:37" x14ac:dyDescent="0.25">
      <c r="A70" s="10">
        <v>58</v>
      </c>
      <c r="B70" s="11" t="str">
        <f>IF(ISNONTEXT(Landcover!B62),"",Landcover!B62)</f>
        <v/>
      </c>
      <c r="C70" s="12" t="str">
        <f t="shared" ca="1" si="1"/>
        <v/>
      </c>
      <c r="D70" s="12" t="str">
        <f t="shared" ca="1" si="2"/>
        <v/>
      </c>
      <c r="E70" s="240" t="str">
        <f t="shared" ca="1" si="3"/>
        <v/>
      </c>
      <c r="F70" s="13" t="str">
        <f t="shared" ca="1" si="4"/>
        <v/>
      </c>
      <c r="G70" s="13" t="str">
        <f t="shared" ca="1" si="5"/>
        <v/>
      </c>
      <c r="H70" s="14" t="str">
        <f t="shared" ca="1" si="6"/>
        <v/>
      </c>
      <c r="I70" s="15" t="s">
        <v>105</v>
      </c>
      <c r="J70" s="16">
        <v>0</v>
      </c>
      <c r="K70" s="16">
        <v>0</v>
      </c>
      <c r="L70" s="16">
        <v>0</v>
      </c>
      <c r="M70" s="12" t="str">
        <f t="shared" ca="1" si="7"/>
        <v/>
      </c>
      <c r="N70" s="12" t="str">
        <f t="shared" ca="1" si="8"/>
        <v/>
      </c>
      <c r="O70" s="12" t="str">
        <f t="shared" ca="1" si="30"/>
        <v/>
      </c>
      <c r="P70" s="16">
        <v>0</v>
      </c>
      <c r="Q70" s="312" t="str">
        <f t="shared" ca="1" si="10"/>
        <v/>
      </c>
      <c r="R70" s="241" t="str">
        <f t="shared" ca="1" si="11"/>
        <v/>
      </c>
      <c r="S70" s="312" t="str">
        <f t="shared" ca="1" si="12"/>
        <v/>
      </c>
      <c r="T70" s="241" t="str">
        <f t="shared" ca="1" si="13"/>
        <v/>
      </c>
      <c r="U70" s="312" t="str">
        <f t="shared" ca="1" si="14"/>
        <v/>
      </c>
      <c r="V70" s="241" t="str">
        <f t="shared" ca="1" si="15"/>
        <v/>
      </c>
      <c r="W70" s="312" t="str">
        <f t="shared" ca="1" si="16"/>
        <v/>
      </c>
      <c r="X70" s="241" t="str">
        <f t="shared" ca="1" si="17"/>
        <v/>
      </c>
      <c r="Y70" s="312" t="str">
        <f t="shared" ca="1" si="18"/>
        <v/>
      </c>
      <c r="Z70" s="241" t="str">
        <f t="shared" ca="1" si="19"/>
        <v/>
      </c>
      <c r="AA70" s="313" t="str">
        <f t="shared" ca="1" si="20"/>
        <v/>
      </c>
      <c r="AB70" s="241" t="str">
        <f t="shared" ca="1" si="21"/>
        <v/>
      </c>
      <c r="AD70" s="223" t="str">
        <f t="shared" ca="1" si="22"/>
        <v/>
      </c>
      <c r="AE70" s="223" t="str">
        <f t="shared" ca="1" si="23"/>
        <v/>
      </c>
      <c r="AF70" s="223" t="str">
        <f t="shared" ca="1" si="24"/>
        <v/>
      </c>
      <c r="AG70" s="223" t="str">
        <f t="shared" ca="1" si="25"/>
        <v/>
      </c>
      <c r="AH70" s="223" t="str">
        <f t="shared" ca="1" si="26"/>
        <v/>
      </c>
      <c r="AI70" s="223" t="str">
        <f t="shared" ca="1" si="27"/>
        <v/>
      </c>
      <c r="AJ70" s="223" t="str">
        <f t="shared" ca="1" si="28"/>
        <v/>
      </c>
      <c r="AK70" s="223" t="str">
        <f t="shared" ca="1" si="29"/>
        <v/>
      </c>
    </row>
    <row r="71" spans="1:37" x14ac:dyDescent="0.25">
      <c r="A71" s="10">
        <v>59</v>
      </c>
      <c r="B71" s="11" t="str">
        <f>IF(ISNONTEXT(Landcover!B63),"",Landcover!B63)</f>
        <v/>
      </c>
      <c r="C71" s="12" t="str">
        <f t="shared" ca="1" si="1"/>
        <v/>
      </c>
      <c r="D71" s="12" t="str">
        <f t="shared" ca="1" si="2"/>
        <v/>
      </c>
      <c r="E71" s="240" t="str">
        <f t="shared" ca="1" si="3"/>
        <v/>
      </c>
      <c r="F71" s="13" t="str">
        <f t="shared" ca="1" si="4"/>
        <v/>
      </c>
      <c r="G71" s="13" t="str">
        <f t="shared" ca="1" si="5"/>
        <v/>
      </c>
      <c r="H71" s="14" t="str">
        <f t="shared" ca="1" si="6"/>
        <v/>
      </c>
      <c r="I71" s="15" t="s">
        <v>105</v>
      </c>
      <c r="J71" s="16">
        <v>0</v>
      </c>
      <c r="K71" s="16">
        <v>0</v>
      </c>
      <c r="L71" s="16">
        <v>0</v>
      </c>
      <c r="M71" s="12" t="str">
        <f t="shared" ca="1" si="7"/>
        <v/>
      </c>
      <c r="N71" s="12" t="str">
        <f t="shared" ca="1" si="8"/>
        <v/>
      </c>
      <c r="O71" s="12" t="str">
        <f t="shared" ca="1" si="30"/>
        <v/>
      </c>
      <c r="P71" s="16">
        <v>0</v>
      </c>
      <c r="Q71" s="312" t="str">
        <f t="shared" ca="1" si="10"/>
        <v/>
      </c>
      <c r="R71" s="241" t="str">
        <f t="shared" ca="1" si="11"/>
        <v/>
      </c>
      <c r="S71" s="312" t="str">
        <f t="shared" ca="1" si="12"/>
        <v/>
      </c>
      <c r="T71" s="241" t="str">
        <f t="shared" ca="1" si="13"/>
        <v/>
      </c>
      <c r="U71" s="312" t="str">
        <f t="shared" ca="1" si="14"/>
        <v/>
      </c>
      <c r="V71" s="241" t="str">
        <f t="shared" ca="1" si="15"/>
        <v/>
      </c>
      <c r="W71" s="312" t="str">
        <f t="shared" ca="1" si="16"/>
        <v/>
      </c>
      <c r="X71" s="241" t="str">
        <f t="shared" ca="1" si="17"/>
        <v/>
      </c>
      <c r="Y71" s="312" t="str">
        <f t="shared" ca="1" si="18"/>
        <v/>
      </c>
      <c r="Z71" s="241" t="str">
        <f t="shared" ca="1" si="19"/>
        <v/>
      </c>
      <c r="AA71" s="313" t="str">
        <f t="shared" ca="1" si="20"/>
        <v/>
      </c>
      <c r="AB71" s="241" t="str">
        <f t="shared" ca="1" si="21"/>
        <v/>
      </c>
      <c r="AD71" s="223" t="str">
        <f t="shared" ca="1" si="22"/>
        <v/>
      </c>
      <c r="AE71" s="223" t="str">
        <f t="shared" ca="1" si="23"/>
        <v/>
      </c>
      <c r="AF71" s="223" t="str">
        <f t="shared" ca="1" si="24"/>
        <v/>
      </c>
      <c r="AG71" s="223" t="str">
        <f t="shared" ca="1" si="25"/>
        <v/>
      </c>
      <c r="AH71" s="223" t="str">
        <f t="shared" ca="1" si="26"/>
        <v/>
      </c>
      <c r="AI71" s="223" t="str">
        <f t="shared" ca="1" si="27"/>
        <v/>
      </c>
      <c r="AJ71" s="223" t="str">
        <f t="shared" ca="1" si="28"/>
        <v/>
      </c>
      <c r="AK71" s="223" t="str">
        <f t="shared" ca="1" si="29"/>
        <v/>
      </c>
    </row>
    <row r="72" spans="1:37" x14ac:dyDescent="0.25">
      <c r="A72" s="10">
        <v>60</v>
      </c>
      <c r="B72" s="11" t="str">
        <f>IF(ISNONTEXT(Landcover!B64),"",Landcover!B64)</f>
        <v/>
      </c>
      <c r="C72" s="12" t="str">
        <f t="shared" ca="1" si="1"/>
        <v/>
      </c>
      <c r="D72" s="12" t="str">
        <f t="shared" ca="1" si="2"/>
        <v/>
      </c>
      <c r="E72" s="240" t="str">
        <f t="shared" ca="1" si="3"/>
        <v/>
      </c>
      <c r="F72" s="13" t="str">
        <f t="shared" ca="1" si="4"/>
        <v/>
      </c>
      <c r="G72" s="13" t="str">
        <f t="shared" ca="1" si="5"/>
        <v/>
      </c>
      <c r="H72" s="14" t="str">
        <f t="shared" ca="1" si="6"/>
        <v/>
      </c>
      <c r="I72" s="15" t="s">
        <v>105</v>
      </c>
      <c r="J72" s="16">
        <v>0</v>
      </c>
      <c r="K72" s="16">
        <v>0</v>
      </c>
      <c r="L72" s="16">
        <v>0</v>
      </c>
      <c r="M72" s="12" t="str">
        <f t="shared" ca="1" si="7"/>
        <v/>
      </c>
      <c r="N72" s="12" t="str">
        <f t="shared" ca="1" si="8"/>
        <v/>
      </c>
      <c r="O72" s="12" t="str">
        <f t="shared" ca="1" si="30"/>
        <v/>
      </c>
      <c r="P72" s="16">
        <v>0</v>
      </c>
      <c r="Q72" s="312" t="str">
        <f t="shared" ca="1" si="10"/>
        <v/>
      </c>
      <c r="R72" s="241" t="str">
        <f t="shared" ca="1" si="11"/>
        <v/>
      </c>
      <c r="S72" s="312" t="str">
        <f t="shared" ca="1" si="12"/>
        <v/>
      </c>
      <c r="T72" s="241" t="str">
        <f t="shared" ca="1" si="13"/>
        <v/>
      </c>
      <c r="U72" s="312" t="str">
        <f t="shared" ca="1" si="14"/>
        <v/>
      </c>
      <c r="V72" s="241" t="str">
        <f t="shared" ca="1" si="15"/>
        <v/>
      </c>
      <c r="W72" s="312" t="str">
        <f t="shared" ca="1" si="16"/>
        <v/>
      </c>
      <c r="X72" s="241" t="str">
        <f t="shared" ca="1" si="17"/>
        <v/>
      </c>
      <c r="Y72" s="312" t="str">
        <f t="shared" ca="1" si="18"/>
        <v/>
      </c>
      <c r="Z72" s="241" t="str">
        <f t="shared" ca="1" si="19"/>
        <v/>
      </c>
      <c r="AA72" s="313" t="str">
        <f t="shared" ca="1" si="20"/>
        <v/>
      </c>
      <c r="AB72" s="241" t="str">
        <f t="shared" ca="1" si="21"/>
        <v/>
      </c>
      <c r="AD72" s="223" t="str">
        <f t="shared" ca="1" si="22"/>
        <v/>
      </c>
      <c r="AE72" s="223" t="str">
        <f t="shared" ca="1" si="23"/>
        <v/>
      </c>
      <c r="AF72" s="223" t="str">
        <f t="shared" ca="1" si="24"/>
        <v/>
      </c>
      <c r="AG72" s="223" t="str">
        <f t="shared" ca="1" si="25"/>
        <v/>
      </c>
      <c r="AH72" s="223" t="str">
        <f t="shared" ca="1" si="26"/>
        <v/>
      </c>
      <c r="AI72" s="223" t="str">
        <f t="shared" ca="1" si="27"/>
        <v/>
      </c>
      <c r="AJ72" s="223" t="str">
        <f t="shared" ca="1" si="28"/>
        <v/>
      </c>
      <c r="AK72" s="223" t="str">
        <f t="shared" ca="1" si="29"/>
        <v/>
      </c>
    </row>
    <row r="73" spans="1:37" x14ac:dyDescent="0.25">
      <c r="A73" s="10">
        <v>61</v>
      </c>
      <c r="B73" s="11" t="str">
        <f>IF(ISNONTEXT(Landcover!B65),"",Landcover!B65)</f>
        <v/>
      </c>
      <c r="C73" s="12" t="str">
        <f t="shared" ca="1" si="1"/>
        <v/>
      </c>
      <c r="D73" s="12" t="str">
        <f t="shared" ca="1" si="2"/>
        <v/>
      </c>
      <c r="E73" s="240" t="str">
        <f t="shared" ca="1" si="3"/>
        <v/>
      </c>
      <c r="F73" s="13" t="str">
        <f t="shared" ca="1" si="4"/>
        <v/>
      </c>
      <c r="G73" s="13" t="str">
        <f t="shared" ca="1" si="5"/>
        <v/>
      </c>
      <c r="H73" s="14" t="str">
        <f t="shared" ca="1" si="6"/>
        <v/>
      </c>
      <c r="I73" s="15" t="s">
        <v>105</v>
      </c>
      <c r="J73" s="16">
        <v>0</v>
      </c>
      <c r="K73" s="16">
        <v>0</v>
      </c>
      <c r="L73" s="16">
        <v>0</v>
      </c>
      <c r="M73" s="12" t="str">
        <f t="shared" ca="1" si="7"/>
        <v/>
      </c>
      <c r="N73" s="12" t="str">
        <f t="shared" ca="1" si="8"/>
        <v/>
      </c>
      <c r="O73" s="12" t="str">
        <f t="shared" ca="1" si="30"/>
        <v/>
      </c>
      <c r="P73" s="16">
        <v>0</v>
      </c>
      <c r="Q73" s="312" t="str">
        <f t="shared" ca="1" si="10"/>
        <v/>
      </c>
      <c r="R73" s="241" t="str">
        <f t="shared" ca="1" si="11"/>
        <v/>
      </c>
      <c r="S73" s="312" t="str">
        <f t="shared" ca="1" si="12"/>
        <v/>
      </c>
      <c r="T73" s="241" t="str">
        <f t="shared" ca="1" si="13"/>
        <v/>
      </c>
      <c r="U73" s="312" t="str">
        <f t="shared" ca="1" si="14"/>
        <v/>
      </c>
      <c r="V73" s="241" t="str">
        <f t="shared" ca="1" si="15"/>
        <v/>
      </c>
      <c r="W73" s="312" t="str">
        <f t="shared" ca="1" si="16"/>
        <v/>
      </c>
      <c r="X73" s="241" t="str">
        <f t="shared" ca="1" si="17"/>
        <v/>
      </c>
      <c r="Y73" s="312" t="str">
        <f t="shared" ca="1" si="18"/>
        <v/>
      </c>
      <c r="Z73" s="241" t="str">
        <f t="shared" ca="1" si="19"/>
        <v/>
      </c>
      <c r="AA73" s="313" t="str">
        <f t="shared" ca="1" si="20"/>
        <v/>
      </c>
      <c r="AB73" s="241" t="str">
        <f t="shared" ca="1" si="21"/>
        <v/>
      </c>
      <c r="AD73" s="223" t="str">
        <f t="shared" ca="1" si="22"/>
        <v/>
      </c>
      <c r="AE73" s="223" t="str">
        <f t="shared" ca="1" si="23"/>
        <v/>
      </c>
      <c r="AF73" s="223" t="str">
        <f t="shared" ca="1" si="24"/>
        <v/>
      </c>
      <c r="AG73" s="223" t="str">
        <f t="shared" ca="1" si="25"/>
        <v/>
      </c>
      <c r="AH73" s="223" t="str">
        <f t="shared" ca="1" si="26"/>
        <v/>
      </c>
      <c r="AI73" s="223" t="str">
        <f t="shared" ca="1" si="27"/>
        <v/>
      </c>
      <c r="AJ73" s="223" t="str">
        <f t="shared" ca="1" si="28"/>
        <v/>
      </c>
      <c r="AK73" s="223" t="str">
        <f t="shared" ca="1" si="29"/>
        <v/>
      </c>
    </row>
    <row r="74" spans="1:37" x14ac:dyDescent="0.25">
      <c r="A74" s="10">
        <v>62</v>
      </c>
      <c r="B74" s="11" t="str">
        <f>IF(ISNONTEXT(Landcover!B66),"",Landcover!B66)</f>
        <v/>
      </c>
      <c r="C74" s="12" t="str">
        <f t="shared" ca="1" si="1"/>
        <v/>
      </c>
      <c r="D74" s="12" t="str">
        <f t="shared" ca="1" si="2"/>
        <v/>
      </c>
      <c r="E74" s="240" t="str">
        <f t="shared" ca="1" si="3"/>
        <v/>
      </c>
      <c r="F74" s="13" t="str">
        <f t="shared" ca="1" si="4"/>
        <v/>
      </c>
      <c r="G74" s="13" t="str">
        <f t="shared" ca="1" si="5"/>
        <v/>
      </c>
      <c r="H74" s="14" t="str">
        <f t="shared" ca="1" si="6"/>
        <v/>
      </c>
      <c r="I74" s="15" t="s">
        <v>105</v>
      </c>
      <c r="J74" s="16">
        <v>0</v>
      </c>
      <c r="K74" s="16">
        <v>0</v>
      </c>
      <c r="L74" s="16">
        <v>0</v>
      </c>
      <c r="M74" s="12" t="str">
        <f t="shared" ca="1" si="7"/>
        <v/>
      </c>
      <c r="N74" s="12" t="str">
        <f t="shared" ca="1" si="8"/>
        <v/>
      </c>
      <c r="O74" s="12" t="str">
        <f t="shared" ca="1" si="30"/>
        <v/>
      </c>
      <c r="P74" s="16">
        <v>0</v>
      </c>
      <c r="Q74" s="312" t="str">
        <f t="shared" ca="1" si="10"/>
        <v/>
      </c>
      <c r="R74" s="241" t="str">
        <f t="shared" ca="1" si="11"/>
        <v/>
      </c>
      <c r="S74" s="312" t="str">
        <f t="shared" ca="1" si="12"/>
        <v/>
      </c>
      <c r="T74" s="241" t="str">
        <f t="shared" ca="1" si="13"/>
        <v/>
      </c>
      <c r="U74" s="312" t="str">
        <f t="shared" ca="1" si="14"/>
        <v/>
      </c>
      <c r="V74" s="241" t="str">
        <f t="shared" ca="1" si="15"/>
        <v/>
      </c>
      <c r="W74" s="312" t="str">
        <f t="shared" ca="1" si="16"/>
        <v/>
      </c>
      <c r="X74" s="241" t="str">
        <f t="shared" ca="1" si="17"/>
        <v/>
      </c>
      <c r="Y74" s="312" t="str">
        <f t="shared" ca="1" si="18"/>
        <v/>
      </c>
      <c r="Z74" s="241" t="str">
        <f t="shared" ca="1" si="19"/>
        <v/>
      </c>
      <c r="AA74" s="313" t="str">
        <f t="shared" ca="1" si="20"/>
        <v/>
      </c>
      <c r="AB74" s="241" t="str">
        <f t="shared" ca="1" si="21"/>
        <v/>
      </c>
      <c r="AD74" s="223" t="str">
        <f t="shared" ca="1" si="22"/>
        <v/>
      </c>
      <c r="AE74" s="223" t="str">
        <f t="shared" ca="1" si="23"/>
        <v/>
      </c>
      <c r="AF74" s="223" t="str">
        <f t="shared" ca="1" si="24"/>
        <v/>
      </c>
      <c r="AG74" s="223" t="str">
        <f t="shared" ca="1" si="25"/>
        <v/>
      </c>
      <c r="AH74" s="223" t="str">
        <f t="shared" ca="1" si="26"/>
        <v/>
      </c>
      <c r="AI74" s="223" t="str">
        <f t="shared" ca="1" si="27"/>
        <v/>
      </c>
      <c r="AJ74" s="223" t="str">
        <f t="shared" ca="1" si="28"/>
        <v/>
      </c>
      <c r="AK74" s="223" t="str">
        <f t="shared" ca="1" si="29"/>
        <v/>
      </c>
    </row>
    <row r="75" spans="1:37" x14ac:dyDescent="0.25">
      <c r="A75" s="10">
        <v>63</v>
      </c>
      <c r="B75" s="11" t="str">
        <f>IF(ISNONTEXT(Landcover!B67),"",Landcover!B67)</f>
        <v/>
      </c>
      <c r="C75" s="12" t="str">
        <f t="shared" ca="1" si="1"/>
        <v/>
      </c>
      <c r="D75" s="12" t="str">
        <f t="shared" ca="1" si="2"/>
        <v/>
      </c>
      <c r="E75" s="240" t="str">
        <f t="shared" ca="1" si="3"/>
        <v/>
      </c>
      <c r="F75" s="13" t="str">
        <f t="shared" ca="1" si="4"/>
        <v/>
      </c>
      <c r="G75" s="13" t="str">
        <f t="shared" ca="1" si="5"/>
        <v/>
      </c>
      <c r="H75" s="14" t="str">
        <f t="shared" ca="1" si="6"/>
        <v/>
      </c>
      <c r="I75" s="15" t="s">
        <v>105</v>
      </c>
      <c r="J75" s="16">
        <v>0</v>
      </c>
      <c r="K75" s="16">
        <v>0</v>
      </c>
      <c r="L75" s="16">
        <v>0</v>
      </c>
      <c r="M75" s="12" t="str">
        <f t="shared" ca="1" si="7"/>
        <v/>
      </c>
      <c r="N75" s="12" t="str">
        <f t="shared" ca="1" si="8"/>
        <v/>
      </c>
      <c r="O75" s="12" t="str">
        <f t="shared" ca="1" si="30"/>
        <v/>
      </c>
      <c r="P75" s="16">
        <v>0</v>
      </c>
      <c r="Q75" s="312" t="str">
        <f t="shared" ca="1" si="10"/>
        <v/>
      </c>
      <c r="R75" s="241" t="str">
        <f t="shared" ca="1" si="11"/>
        <v/>
      </c>
      <c r="S75" s="312" t="str">
        <f t="shared" ca="1" si="12"/>
        <v/>
      </c>
      <c r="T75" s="241" t="str">
        <f t="shared" ca="1" si="13"/>
        <v/>
      </c>
      <c r="U75" s="312" t="str">
        <f t="shared" ca="1" si="14"/>
        <v/>
      </c>
      <c r="V75" s="241" t="str">
        <f t="shared" ca="1" si="15"/>
        <v/>
      </c>
      <c r="W75" s="312" t="str">
        <f t="shared" ca="1" si="16"/>
        <v/>
      </c>
      <c r="X75" s="241" t="str">
        <f t="shared" ca="1" si="17"/>
        <v/>
      </c>
      <c r="Y75" s="312" t="str">
        <f t="shared" ca="1" si="18"/>
        <v/>
      </c>
      <c r="Z75" s="241" t="str">
        <f t="shared" ca="1" si="19"/>
        <v/>
      </c>
      <c r="AA75" s="313" t="str">
        <f t="shared" ca="1" si="20"/>
        <v/>
      </c>
      <c r="AB75" s="241" t="str">
        <f t="shared" ca="1" si="21"/>
        <v/>
      </c>
      <c r="AD75" s="223" t="str">
        <f t="shared" ca="1" si="22"/>
        <v/>
      </c>
      <c r="AE75" s="223" t="str">
        <f t="shared" ca="1" si="23"/>
        <v/>
      </c>
      <c r="AF75" s="223" t="str">
        <f t="shared" ca="1" si="24"/>
        <v/>
      </c>
      <c r="AG75" s="223" t="str">
        <f t="shared" ca="1" si="25"/>
        <v/>
      </c>
      <c r="AH75" s="223" t="str">
        <f t="shared" ca="1" si="26"/>
        <v/>
      </c>
      <c r="AI75" s="223" t="str">
        <f t="shared" ca="1" si="27"/>
        <v/>
      </c>
      <c r="AJ75" s="223" t="str">
        <f t="shared" ca="1" si="28"/>
        <v/>
      </c>
      <c r="AK75" s="223" t="str">
        <f t="shared" ca="1" si="29"/>
        <v/>
      </c>
    </row>
    <row r="76" spans="1:37" x14ac:dyDescent="0.25">
      <c r="A76" s="18">
        <v>64</v>
      </c>
      <c r="B76" s="11" t="str">
        <f>IF(ISNONTEXT(Landcover!B68),"",Landcover!B68)</f>
        <v/>
      </c>
      <c r="C76" s="12" t="str">
        <f t="shared" ca="1" si="1"/>
        <v/>
      </c>
      <c r="D76" s="12" t="str">
        <f t="shared" ca="1" si="2"/>
        <v/>
      </c>
      <c r="E76" s="240" t="str">
        <f t="shared" ca="1" si="3"/>
        <v/>
      </c>
      <c r="F76" s="13" t="str">
        <f t="shared" ca="1" si="4"/>
        <v/>
      </c>
      <c r="G76" s="13" t="str">
        <f t="shared" ca="1" si="5"/>
        <v/>
      </c>
      <c r="H76" s="14" t="str">
        <f t="shared" ca="1" si="6"/>
        <v/>
      </c>
      <c r="I76" s="15" t="s">
        <v>105</v>
      </c>
      <c r="J76" s="16">
        <v>0</v>
      </c>
      <c r="K76" s="16">
        <v>0</v>
      </c>
      <c r="L76" s="16">
        <v>0</v>
      </c>
      <c r="M76" s="12" t="str">
        <f t="shared" ca="1" si="7"/>
        <v/>
      </c>
      <c r="N76" s="12" t="str">
        <f t="shared" ca="1" si="8"/>
        <v/>
      </c>
      <c r="O76" s="12" t="str">
        <f t="shared" ca="1" si="30"/>
        <v/>
      </c>
      <c r="P76" s="16">
        <v>0</v>
      </c>
      <c r="Q76" s="312" t="str">
        <f t="shared" ca="1" si="10"/>
        <v/>
      </c>
      <c r="R76" s="241" t="str">
        <f t="shared" ca="1" si="11"/>
        <v/>
      </c>
      <c r="S76" s="312" t="str">
        <f t="shared" ca="1" si="12"/>
        <v/>
      </c>
      <c r="T76" s="241" t="str">
        <f t="shared" ca="1" si="13"/>
        <v/>
      </c>
      <c r="U76" s="312" t="str">
        <f t="shared" ca="1" si="14"/>
        <v/>
      </c>
      <c r="V76" s="241" t="str">
        <f t="shared" ca="1" si="15"/>
        <v/>
      </c>
      <c r="W76" s="312" t="str">
        <f t="shared" ca="1" si="16"/>
        <v/>
      </c>
      <c r="X76" s="241" t="str">
        <f t="shared" ca="1" si="17"/>
        <v/>
      </c>
      <c r="Y76" s="312" t="str">
        <f t="shared" ca="1" si="18"/>
        <v/>
      </c>
      <c r="Z76" s="241" t="str">
        <f t="shared" ca="1" si="19"/>
        <v/>
      </c>
      <c r="AA76" s="313" t="str">
        <f t="shared" ca="1" si="20"/>
        <v/>
      </c>
      <c r="AB76" s="241" t="str">
        <f t="shared" ca="1" si="21"/>
        <v/>
      </c>
      <c r="AD76" s="223" t="str">
        <f t="shared" ca="1" si="22"/>
        <v/>
      </c>
      <c r="AE76" s="223" t="str">
        <f t="shared" ca="1" si="23"/>
        <v/>
      </c>
      <c r="AF76" s="223" t="str">
        <f t="shared" ca="1" si="24"/>
        <v/>
      </c>
      <c r="AG76" s="223" t="str">
        <f t="shared" ca="1" si="25"/>
        <v/>
      </c>
      <c r="AH76" s="223" t="str">
        <f t="shared" ca="1" si="26"/>
        <v/>
      </c>
      <c r="AI76" s="223" t="str">
        <f t="shared" ca="1" si="27"/>
        <v/>
      </c>
      <c r="AJ76" s="223" t="str">
        <f t="shared" ca="1" si="28"/>
        <v/>
      </c>
      <c r="AK76" s="223" t="str">
        <f t="shared" ca="1" si="29"/>
        <v/>
      </c>
    </row>
    <row r="77" spans="1:37" x14ac:dyDescent="0.25">
      <c r="B77" s="19"/>
      <c r="C77" s="20"/>
      <c r="D77" s="20"/>
      <c r="E77" s="21"/>
      <c r="F77" s="21"/>
      <c r="G77" s="21"/>
      <c r="H77" s="20"/>
      <c r="Q77" s="318">
        <f ca="1">SUM(Q13:Q16)</f>
        <v>0</v>
      </c>
    </row>
  </sheetData>
  <mergeCells count="13">
    <mergeCell ref="J11:K11"/>
    <mergeCell ref="Q11:V11"/>
    <mergeCell ref="W11:AB11"/>
    <mergeCell ref="C12:D12"/>
    <mergeCell ref="E12:G12"/>
    <mergeCell ref="J1:O1"/>
    <mergeCell ref="C2:M7"/>
    <mergeCell ref="E8:G8"/>
    <mergeCell ref="AD8:AK8"/>
    <mergeCell ref="B10:H10"/>
    <mergeCell ref="I10:L10"/>
    <mergeCell ref="Q10:AB10"/>
    <mergeCell ref="AD10:AK10"/>
  </mergeCells>
  <conditionalFormatting sqref="C19">
    <cfRule type="cellIs" dxfId="138" priority="61" operator="lessThan">
      <formula>$H$19</formula>
    </cfRule>
    <cfRule type="cellIs" dxfId="137" priority="62" operator="greaterThan">
      <formula>$H$19</formula>
    </cfRule>
  </conditionalFormatting>
  <conditionalFormatting sqref="H9">
    <cfRule type="cellIs" dxfId="136" priority="13" operator="lessThan">
      <formula>$C$9</formula>
    </cfRule>
    <cfRule type="cellIs" dxfId="135" priority="14" operator="greaterThan">
      <formula>$C$9</formula>
    </cfRule>
  </conditionalFormatting>
  <conditionalFormatting sqref="H13">
    <cfRule type="cellIs" dxfId="134" priority="73" operator="lessThan">
      <formula>$C$13</formula>
    </cfRule>
    <cfRule type="cellIs" dxfId="133" priority="74" operator="greaterThan">
      <formula>$C$13</formula>
    </cfRule>
  </conditionalFormatting>
  <conditionalFormatting sqref="H14">
    <cfRule type="cellIs" dxfId="132" priority="71" operator="lessThan">
      <formula>$C$14</formula>
    </cfRule>
    <cfRule type="cellIs" dxfId="131" priority="72" operator="greaterThan">
      <formula>$C$14</formula>
    </cfRule>
  </conditionalFormatting>
  <conditionalFormatting sqref="H15">
    <cfRule type="cellIs" dxfId="130" priority="69" operator="lessThan">
      <formula>$C$15</formula>
    </cfRule>
    <cfRule type="cellIs" dxfId="129" priority="5" operator="greaterThan">
      <formula>$C$15</formula>
    </cfRule>
  </conditionalFormatting>
  <conditionalFormatting sqref="H16">
    <cfRule type="cellIs" dxfId="128" priority="67" operator="lessThan">
      <formula>$C$16</formula>
    </cfRule>
    <cfRule type="cellIs" dxfId="127" priority="68" operator="greaterThan">
      <formula>$C$16</formula>
    </cfRule>
  </conditionalFormatting>
  <conditionalFormatting sqref="H17">
    <cfRule type="cellIs" dxfId="126" priority="65" operator="lessThan">
      <formula>$C$17</formula>
    </cfRule>
    <cfRule type="cellIs" dxfId="125" priority="66" operator="greaterThan">
      <formula>$C$17</formula>
    </cfRule>
  </conditionalFormatting>
  <conditionalFormatting sqref="H18">
    <cfRule type="cellIs" dxfId="124" priority="63" operator="lessThan">
      <formula>$C$18</formula>
    </cfRule>
    <cfRule type="cellIs" dxfId="123" priority="64" operator="greaterThan">
      <formula>$C$18</formula>
    </cfRule>
  </conditionalFormatting>
  <conditionalFormatting sqref="H20">
    <cfRule type="cellIs" dxfId="122" priority="59" operator="lessThan">
      <formula>$C$20</formula>
    </cfRule>
    <cfRule type="cellIs" dxfId="121" priority="60" operator="greaterThan">
      <formula>$C$20</formula>
    </cfRule>
  </conditionalFormatting>
  <conditionalFormatting sqref="H21">
    <cfRule type="cellIs" dxfId="120" priority="57" operator="lessThan">
      <formula>$C$21</formula>
    </cfRule>
    <cfRule type="cellIs" dxfId="119" priority="58" operator="greaterThan">
      <formula>$C$21</formula>
    </cfRule>
  </conditionalFormatting>
  <conditionalFormatting sqref="H22">
    <cfRule type="cellIs" dxfId="118" priority="55" operator="lessThan">
      <formula>$C$22</formula>
    </cfRule>
    <cfRule type="cellIs" dxfId="117" priority="56" operator="greaterThan">
      <formula>$C$22</formula>
    </cfRule>
  </conditionalFormatting>
  <conditionalFormatting sqref="H23">
    <cfRule type="cellIs" dxfId="116" priority="53" operator="lessThan">
      <formula>$C$23</formula>
    </cfRule>
    <cfRule type="cellIs" dxfId="115" priority="54" operator="greaterThan">
      <formula>$C$23</formula>
    </cfRule>
  </conditionalFormatting>
  <conditionalFormatting sqref="H24">
    <cfRule type="cellIs" dxfId="114" priority="51" operator="lessThan">
      <formula>$C$24</formula>
    </cfRule>
    <cfRule type="cellIs" dxfId="113" priority="52" operator="greaterThan">
      <formula>$C$24</formula>
    </cfRule>
  </conditionalFormatting>
  <conditionalFormatting sqref="H25">
    <cfRule type="cellIs" dxfId="112" priority="49" operator="lessThan">
      <formula>$C$25</formula>
    </cfRule>
    <cfRule type="cellIs" dxfId="111" priority="50" operator="greaterThan">
      <formula>$C$25</formula>
    </cfRule>
  </conditionalFormatting>
  <conditionalFormatting sqref="H26">
    <cfRule type="cellIs" dxfId="110" priority="47" operator="lessThan">
      <formula>$C$26</formula>
    </cfRule>
    <cfRule type="cellIs" dxfId="109" priority="48" operator="greaterThan">
      <formula>$C$26</formula>
    </cfRule>
  </conditionalFormatting>
  <conditionalFormatting sqref="H27">
    <cfRule type="cellIs" dxfId="108" priority="45" operator="lessThan">
      <formula>$C$27</formula>
    </cfRule>
    <cfRule type="cellIs" dxfId="107" priority="46" operator="greaterThan">
      <formula>$C$27</formula>
    </cfRule>
  </conditionalFormatting>
  <conditionalFormatting sqref="H28">
    <cfRule type="cellIs" dxfId="106" priority="43" operator="lessThan">
      <formula>$C$28</formula>
    </cfRule>
    <cfRule type="cellIs" dxfId="105" priority="44" operator="greaterThan">
      <formula>$C$28</formula>
    </cfRule>
  </conditionalFormatting>
  <conditionalFormatting sqref="H29">
    <cfRule type="cellIs" dxfId="104" priority="41" operator="lessThan">
      <formula>$C$29</formula>
    </cfRule>
    <cfRule type="cellIs" dxfId="103" priority="42" operator="greaterThan">
      <formula>$C$29</formula>
    </cfRule>
  </conditionalFormatting>
  <conditionalFormatting sqref="H30">
    <cfRule type="cellIs" dxfId="102" priority="39" operator="lessThan">
      <formula>$C$30</formula>
    </cfRule>
    <cfRule type="cellIs" dxfId="101" priority="40" operator="greaterThan">
      <formula>$C$30</formula>
    </cfRule>
  </conditionalFormatting>
  <conditionalFormatting sqref="H31">
    <cfRule type="cellIs" dxfId="100" priority="37" operator="lessThan">
      <formula>$C$31</formula>
    </cfRule>
    <cfRule type="cellIs" dxfId="99" priority="38" operator="greaterThan">
      <formula>$C$31</formula>
    </cfRule>
  </conditionalFormatting>
  <conditionalFormatting sqref="H32">
    <cfRule type="cellIs" dxfId="98" priority="35" operator="lessThan">
      <formula>$C$32</formula>
    </cfRule>
    <cfRule type="cellIs" dxfId="97" priority="36" operator="greaterThan">
      <formula>$C$32</formula>
    </cfRule>
  </conditionalFormatting>
  <conditionalFormatting sqref="H33">
    <cfRule type="cellIs" dxfId="96" priority="33" operator="lessThan">
      <formula>$C$33</formula>
    </cfRule>
    <cfRule type="cellIs" dxfId="95" priority="34" operator="greaterThan">
      <formula>$C$33</formula>
    </cfRule>
  </conditionalFormatting>
  <conditionalFormatting sqref="H34">
    <cfRule type="cellIs" dxfId="94" priority="31" operator="lessThan">
      <formula>$C$34</formula>
    </cfRule>
    <cfRule type="cellIs" dxfId="93" priority="32" operator="greaterThan">
      <formula>$C$34</formula>
    </cfRule>
  </conditionalFormatting>
  <conditionalFormatting sqref="H35">
    <cfRule type="cellIs" dxfId="92" priority="29" operator="lessThan">
      <formula>$C$35</formula>
    </cfRule>
    <cfRule type="cellIs" dxfId="91" priority="30" operator="greaterThan">
      <formula>$C$35</formula>
    </cfRule>
  </conditionalFormatting>
  <conditionalFormatting sqref="H36">
    <cfRule type="cellIs" dxfId="90" priority="27" operator="lessThan">
      <formula>$C$36</formula>
    </cfRule>
    <cfRule type="cellIs" dxfId="89" priority="28" operator="greaterThan">
      <formula>$C$36</formula>
    </cfRule>
  </conditionalFormatting>
  <conditionalFormatting sqref="H37">
    <cfRule type="cellIs" dxfId="88" priority="25" operator="lessThan">
      <formula>$C$37</formula>
    </cfRule>
    <cfRule type="cellIs" dxfId="87" priority="26" operator="greaterThan">
      <formula>$C$37</formula>
    </cfRule>
  </conditionalFormatting>
  <conditionalFormatting sqref="H38">
    <cfRule type="cellIs" dxfId="86" priority="24" operator="greaterThan">
      <formula>$C$38</formula>
    </cfRule>
  </conditionalFormatting>
  <conditionalFormatting sqref="H38:H39">
    <cfRule type="cellIs" dxfId="85" priority="21" operator="lessThan">
      <formula>$C$38</formula>
    </cfRule>
  </conditionalFormatting>
  <conditionalFormatting sqref="H39">
    <cfRule type="cellIs" dxfId="84" priority="22" operator="greaterThan">
      <formula>$C$39</formula>
    </cfRule>
  </conditionalFormatting>
  <conditionalFormatting sqref="H40">
    <cfRule type="cellIs" dxfId="83" priority="19" operator="lessThan">
      <formula>$C$40</formula>
    </cfRule>
    <cfRule type="cellIs" dxfId="82" priority="20" operator="greaterThan">
      <formula>$C$40</formula>
    </cfRule>
  </conditionalFormatting>
  <conditionalFormatting sqref="H41">
    <cfRule type="cellIs" dxfId="81" priority="17" operator="lessThan">
      <formula>$C$41</formula>
    </cfRule>
    <cfRule type="cellIs" dxfId="80" priority="18" operator="greaterThan">
      <formula>$C$41</formula>
    </cfRule>
  </conditionalFormatting>
  <conditionalFormatting sqref="H42">
    <cfRule type="cellIs" dxfId="79" priority="15" operator="lessThan">
      <formula>$C$42</formula>
    </cfRule>
    <cfRule type="cellIs" dxfId="78" priority="16" operator="greaterThan">
      <formula>$C$42</formula>
    </cfRule>
  </conditionalFormatting>
  <conditionalFormatting sqref="W9:AB9">
    <cfRule type="cellIs" dxfId="77" priority="9" operator="lessThan">
      <formula>0</formula>
    </cfRule>
    <cfRule type="cellIs" dxfId="76" priority="10" operator="greaterThan">
      <formula>0</formula>
    </cfRule>
  </conditionalFormatting>
  <conditionalFormatting sqref="W13:AB15">
    <cfRule type="cellIs" dxfId="75" priority="11" operator="lessThan">
      <formula>0</formula>
    </cfRule>
    <cfRule type="cellIs" dxfId="74" priority="12" operator="greaterThan">
      <formula>0</formula>
    </cfRule>
  </conditionalFormatting>
  <conditionalFormatting sqref="J13:L42">
    <cfRule type="cellIs" dxfId="73" priority="6" operator="greaterThan">
      <formula>0</formula>
    </cfRule>
  </conditionalFormatting>
  <conditionalFormatting sqref="W16:W42">
    <cfRule type="cellIs" dxfId="72" priority="4" operator="greaterThan">
      <formula>0</formula>
    </cfRule>
    <cfRule type="cellIs" dxfId="71" priority="3" operator="lessThan">
      <formula>0</formula>
    </cfRule>
  </conditionalFormatting>
  <conditionalFormatting sqref="X16:AB42">
    <cfRule type="cellIs" dxfId="0" priority="2" operator="greaterThan">
      <formula>0</formula>
    </cfRule>
    <cfRule type="cellIs" dxfId="1" priority="1" operator="lessThan">
      <formula>0</formula>
    </cfRule>
  </conditionalFormatting>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
        <x14:dataValidation type="list" showInputMessage="1" showErrorMessage="1" xr:uid="{67748076-799F-42E5-9550-4AD809958AE0}">
          <x14:formula1>
            <xm:f>Events!$B$3:$B$9</xm:f>
          </x14:formula1>
          <xm:sqref>I13:I76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1:AS42"/>
  <sheetViews>
    <sheetView showGridLines="0" zoomScale="125" zoomScaleNormal="90" zoomScalePageLayoutView="90" workbookViewId="0">
      <pane ySplit="3" topLeftCell="A9" activePane="bottomLeft" state="frozen"/>
      <selection activeCell="AJ21" sqref="AJ21"/>
      <selection pane="bottomLeft" activeCell="V30" sqref="V30"/>
    </sheetView>
  </sheetViews>
  <sheetFormatPr defaultColWidth="8.85546875" defaultRowHeight="15" x14ac:dyDescent="0.25"/>
  <cols>
    <col min="1" max="2" width="2" bestFit="1" customWidth="1"/>
    <col min="3" max="3" width="36.28515625" bestFit="1" customWidth="1"/>
    <col min="4" max="4" width="10" bestFit="1" customWidth="1"/>
    <col min="5" max="5" width="8.7109375" customWidth="1"/>
    <col min="6" max="6" width="9" customWidth="1"/>
    <col min="7" max="7" width="11.28515625" bestFit="1" customWidth="1"/>
    <col min="8" max="8" width="9.42578125" bestFit="1" customWidth="1"/>
    <col min="9" max="9" width="4.7109375" customWidth="1"/>
    <col min="10" max="10" width="27.28515625" customWidth="1"/>
    <col min="11" max="11" width="11" customWidth="1"/>
    <col min="12" max="12" width="7.42578125" customWidth="1"/>
    <col min="13" max="13" width="14.85546875" customWidth="1"/>
    <col min="14" max="14" width="12" customWidth="1"/>
    <col min="15" max="15" width="4.42578125" customWidth="1"/>
    <col min="16" max="16" width="21.7109375" customWidth="1"/>
    <col min="17" max="21" width="7.42578125" customWidth="1"/>
    <col min="22" max="22" width="9.140625" customWidth="1"/>
    <col min="23" max="23" width="5.28515625" customWidth="1"/>
    <col min="24" max="24" width="3.42578125" bestFit="1" customWidth="1"/>
    <col min="25" max="25" width="27.42578125" bestFit="1" customWidth="1"/>
    <col min="26" max="29" width="7.42578125" customWidth="1"/>
    <col min="30" max="30" width="11.7109375" customWidth="1"/>
    <col min="31" max="33" width="7.42578125" customWidth="1"/>
    <col min="34" max="34" width="7" customWidth="1"/>
    <col min="35" max="35" width="39.140625" customWidth="1"/>
    <col min="36" max="38" width="12.42578125" customWidth="1"/>
    <col min="40" max="40" width="23" bestFit="1" customWidth="1"/>
  </cols>
  <sheetData>
    <row r="1" spans="1:45" s="2" customFormat="1" ht="19.5" customHeight="1" x14ac:dyDescent="0.25">
      <c r="A1" s="22">
        <v>1</v>
      </c>
      <c r="C1" s="381">
        <f>VLOOKUP(A1,LANDCOVER,2)</f>
        <v>0</v>
      </c>
      <c r="D1" s="381"/>
      <c r="E1" s="381"/>
      <c r="F1" s="381"/>
      <c r="G1" s="381"/>
      <c r="H1" s="381"/>
    </row>
    <row r="2" spans="1:45" s="24" customFormat="1" ht="15.75" x14ac:dyDescent="0.25">
      <c r="A2" s="23"/>
      <c r="C2" s="25" t="s">
        <v>106</v>
      </c>
      <c r="D2" s="26" t="s">
        <v>107</v>
      </c>
      <c r="E2" s="382" t="s">
        <v>108</v>
      </c>
      <c r="F2" s="382"/>
      <c r="G2" s="382"/>
      <c r="H2" s="382"/>
    </row>
    <row r="3" spans="1:45" s="28" customFormat="1" ht="15.75" customHeight="1" x14ac:dyDescent="0.25">
      <c r="A3" s="27"/>
      <c r="C3" s="49" t="str">
        <f ca="1">INDIRECT("Summary!I"&amp;(12+A1))</f>
        <v>1 yr / 24 hour      </v>
      </c>
      <c r="D3" s="172">
        <f ca="1">VLOOKUP($C$3,Events!$B$3:$D$9,2,FALSE)</f>
        <v>0</v>
      </c>
      <c r="E3" s="383">
        <f ca="1">VLOOKUP($C$3,Events!$B$3:$D$9,3,FALSE)</f>
        <v>0</v>
      </c>
      <c r="F3" s="383"/>
      <c r="G3" s="383"/>
      <c r="H3" s="383"/>
      <c r="J3" s="24"/>
      <c r="K3" s="24"/>
      <c r="L3" s="24"/>
      <c r="M3" s="24"/>
      <c r="N3" s="24"/>
      <c r="Y3" s="24"/>
      <c r="Z3" s="24"/>
      <c r="AA3" s="24"/>
      <c r="AB3" s="24"/>
      <c r="AC3" s="24"/>
      <c r="AD3" s="24"/>
      <c r="AE3" s="24"/>
      <c r="AF3" s="24"/>
      <c r="AG3" s="24"/>
      <c r="AI3" s="24"/>
      <c r="AJ3" s="24"/>
      <c r="AK3" s="24"/>
      <c r="AL3" s="24"/>
    </row>
    <row r="4" spans="1:45" s="24" customFormat="1" ht="15" customHeight="1" x14ac:dyDescent="0.25">
      <c r="A4" s="23"/>
      <c r="C4" s="257"/>
      <c r="D4" s="384" t="s">
        <v>109</v>
      </c>
      <c r="E4" s="384"/>
      <c r="F4" s="384"/>
      <c r="G4" s="384"/>
      <c r="H4" s="384"/>
      <c r="J4" s="385" t="s">
        <v>110</v>
      </c>
      <c r="K4" s="385"/>
      <c r="L4" s="385"/>
      <c r="M4" s="385"/>
      <c r="N4" s="385"/>
      <c r="P4" s="395" t="s">
        <v>111</v>
      </c>
      <c r="Q4" s="395"/>
      <c r="R4" s="395"/>
      <c r="S4" s="395"/>
      <c r="T4" s="395"/>
      <c r="U4" s="395"/>
      <c r="V4" s="395"/>
      <c r="Y4" s="387" t="s">
        <v>112</v>
      </c>
      <c r="Z4" s="388"/>
      <c r="AA4" s="388"/>
      <c r="AB4" s="388"/>
      <c r="AC4" s="388"/>
      <c r="AD4" s="388"/>
      <c r="AE4" s="388"/>
      <c r="AF4" s="388"/>
      <c r="AG4" s="389"/>
      <c r="AI4" s="284" t="s">
        <v>113</v>
      </c>
      <c r="AJ4" s="390" t="s">
        <v>114</v>
      </c>
      <c r="AK4" s="391"/>
      <c r="AL4" s="392"/>
    </row>
    <row r="5" spans="1:45" s="24" customFormat="1" ht="27.95" customHeight="1" x14ac:dyDescent="0.25">
      <c r="A5" s="23"/>
      <c r="C5" s="258"/>
      <c r="D5" s="334" t="s">
        <v>115</v>
      </c>
      <c r="E5" s="334" t="s">
        <v>84</v>
      </c>
      <c r="F5" s="259" t="s">
        <v>116</v>
      </c>
      <c r="G5" s="259" t="s">
        <v>117</v>
      </c>
      <c r="H5" s="259" t="s">
        <v>118</v>
      </c>
      <c r="J5" s="174"/>
      <c r="K5" s="192" t="s">
        <v>115</v>
      </c>
      <c r="L5" s="192" t="s">
        <v>84</v>
      </c>
      <c r="M5" s="268" t="s">
        <v>119</v>
      </c>
      <c r="N5" s="226" t="s">
        <v>120</v>
      </c>
      <c r="P5" s="174"/>
      <c r="Q5" s="332" t="s">
        <v>103</v>
      </c>
      <c r="R5" s="332" t="s">
        <v>121</v>
      </c>
      <c r="S5" s="332" t="s">
        <v>104</v>
      </c>
      <c r="T5" s="332" t="s">
        <v>122</v>
      </c>
      <c r="U5" s="332" t="s">
        <v>123</v>
      </c>
      <c r="V5" s="192" t="s">
        <v>115</v>
      </c>
      <c r="Y5" s="230" t="s">
        <v>124</v>
      </c>
      <c r="Z5" s="215" t="s">
        <v>125</v>
      </c>
      <c r="AA5" s="254" t="s">
        <v>126</v>
      </c>
      <c r="AB5" s="234" t="s">
        <v>127</v>
      </c>
      <c r="AC5" s="254" t="s">
        <v>128</v>
      </c>
      <c r="AD5" s="272" t="s">
        <v>125</v>
      </c>
      <c r="AE5" s="272" t="s">
        <v>126</v>
      </c>
      <c r="AF5" s="272" t="s">
        <v>127</v>
      </c>
      <c r="AG5" s="272" t="s">
        <v>128</v>
      </c>
      <c r="AH5" s="31"/>
      <c r="AI5" s="285" t="s">
        <v>129</v>
      </c>
      <c r="AJ5" s="286" t="s">
        <v>130</v>
      </c>
      <c r="AK5" s="287" t="s">
        <v>131</v>
      </c>
      <c r="AL5" s="288" t="s">
        <v>132</v>
      </c>
    </row>
    <row r="6" spans="1:45" s="24" customFormat="1" x14ac:dyDescent="0.25">
      <c r="A6" s="32"/>
      <c r="C6" s="255" t="s">
        <v>133</v>
      </c>
      <c r="D6" s="34">
        <f>VLOOKUP($A$1,LANDCOVER,3)</f>
        <v>0</v>
      </c>
      <c r="E6" s="35" t="e">
        <f t="shared" ref="E6:E15" si="0">D6/$D$16</f>
        <v>#DIV/0!</v>
      </c>
      <c r="F6" s="247">
        <f ca="1">IF($D$3&lt;0.05*AA6,0,($D$3-AB6)^2/($D$3-AB6+AA6))</f>
        <v>0</v>
      </c>
      <c r="G6" s="256">
        <f ca="1">D6*F6*43560/12/1000</f>
        <v>0</v>
      </c>
      <c r="H6" s="266">
        <f ca="1">IFERROR(($AG6/$AC6-1)*G6,0)</f>
        <v>0</v>
      </c>
      <c r="J6" s="173" t="s">
        <v>133</v>
      </c>
      <c r="K6" s="34">
        <f>VLOOKUP($A$1,LANDCOVERPOT,3)</f>
        <v>0</v>
      </c>
      <c r="L6" s="175" t="e">
        <f t="shared" ref="L6:L15" si="1">K6/$K$16</f>
        <v>#DIV/0!</v>
      </c>
      <c r="M6" s="269">
        <f ca="1">K6*$F6*43560/12/1000</f>
        <v>0</v>
      </c>
      <c r="N6" s="250"/>
      <c r="P6" s="173" t="s">
        <v>133</v>
      </c>
      <c r="Q6" s="244">
        <f ca="1">D6*INDIRECT("Summary!j"&amp;(12+A1))</f>
        <v>0</v>
      </c>
      <c r="R6" s="244">
        <f ca="1">(K6-D6)*INDIRECT("Summary!p"&amp;(12+A1))</f>
        <v>0</v>
      </c>
      <c r="S6" s="244"/>
      <c r="T6" s="244"/>
      <c r="U6" s="244"/>
      <c r="V6" s="315">
        <f ca="1">D6-Q6+R6+U6</f>
        <v>0</v>
      </c>
      <c r="X6" s="38">
        <v>1</v>
      </c>
      <c r="Y6" s="231" t="str">
        <f t="shared" ref="Y6:Y15" si="2">C6</f>
        <v>Tree Canopy</v>
      </c>
      <c r="Z6" s="232">
        <f>IF(D6&lt;=0,TheModel!I28,VLOOKUP($A$1,CompositeCN,$X6+1))</f>
        <v>59</v>
      </c>
      <c r="AA6" s="233">
        <f>IFERROR(1000/Z6-10,0)</f>
        <v>6.9491525423728824</v>
      </c>
      <c r="AB6" s="235">
        <f>0.2*AA6+ModelCi</f>
        <v>1.4398305084745766</v>
      </c>
      <c r="AC6" s="253">
        <f ca="1">IF($D$3&lt;0.05*AA6,0,($D$3-AB6)^2/($D$3-AB6+AA6))</f>
        <v>0</v>
      </c>
      <c r="AD6" s="252" t="e">
        <f ca="1">INDIRECT("LC_HSG_Data!CS"&amp;(5+A1))</f>
        <v>#DIV/0!</v>
      </c>
      <c r="AE6" s="252">
        <f ca="1">IFERROR(1000/AD6-10,0)</f>
        <v>0</v>
      </c>
      <c r="AF6" s="252">
        <f t="shared" ref="AF6" ca="1" si="3">0.2*AE6</f>
        <v>0</v>
      </c>
      <c r="AG6" s="252" t="e">
        <f ca="1">IF($D$3&lt;0.05*AE6,0,($D$3-AF6)^2/($D$3-AF6+AE6))</f>
        <v>#DIV/0!</v>
      </c>
      <c r="AH6" s="39"/>
      <c r="AI6" s="255" t="s">
        <v>133</v>
      </c>
      <c r="AJ6" s="289">
        <f t="array" ref="AJ6:AL15">D6:D15*loads</f>
        <v>0</v>
      </c>
      <c r="AK6" s="289">
        <v>0</v>
      </c>
      <c r="AL6" s="289">
        <v>0</v>
      </c>
      <c r="AN6" s="221"/>
      <c r="AO6" s="221"/>
      <c r="AP6" s="221"/>
      <c r="AQ6" s="221"/>
      <c r="AR6" s="221"/>
      <c r="AS6" s="221"/>
    </row>
    <row r="7" spans="1:45" s="24" customFormat="1" x14ac:dyDescent="0.25">
      <c r="A7" s="32"/>
      <c r="C7" s="255" t="s">
        <v>134</v>
      </c>
      <c r="D7" s="34">
        <f>VLOOKUP($A$1,LANDCOVER,4)</f>
        <v>0</v>
      </c>
      <c r="E7" s="35" t="e">
        <f t="shared" si="0"/>
        <v>#DIV/0!</v>
      </c>
      <c r="F7" s="247">
        <f ca="1">IF($D$3&lt;0.05*AA7,0,($D$3-AB7)^2/($D$3-AB7+AA7))</f>
        <v>0</v>
      </c>
      <c r="G7" s="256">
        <f ca="1">D7*F7*43560/12/1000</f>
        <v>0</v>
      </c>
      <c r="H7" s="266">
        <f ca="1">IFERROR(($AC10/$AC7-1)*G7,0)</f>
        <v>0</v>
      </c>
      <c r="J7" s="33" t="s">
        <v>134</v>
      </c>
      <c r="K7" s="34">
        <f>VLOOKUP($A$1,LANDCOVERPOT,4)</f>
        <v>0</v>
      </c>
      <c r="L7" s="37" t="e">
        <f t="shared" si="1"/>
        <v>#DIV/0!</v>
      </c>
      <c r="M7" s="270">
        <f t="shared" ref="M7:M15" ca="1" si="4">K7*$F7*43560/12/1000</f>
        <v>0</v>
      </c>
      <c r="N7" s="250"/>
      <c r="P7" s="33" t="s">
        <v>134</v>
      </c>
      <c r="Q7" s="245">
        <f ca="1">D7*INDIRECT("Summary!j"&amp;(12+A1))</f>
        <v>0</v>
      </c>
      <c r="R7" s="245">
        <f ca="1">(K7-D7)*INDIRECT("Summary!p"&amp;(12+A1))</f>
        <v>0</v>
      </c>
      <c r="S7" s="245"/>
      <c r="T7" s="245"/>
      <c r="U7" s="245"/>
      <c r="V7" s="315">
        <f ca="1">D7-Q7+R7</f>
        <v>0</v>
      </c>
      <c r="X7" s="38">
        <v>2</v>
      </c>
      <c r="Y7" s="231" t="str">
        <f t="shared" si="2"/>
        <v>Tree Canopy over Impervious</v>
      </c>
      <c r="Z7" s="232">
        <f>IF(D7&lt;=0,TheModel!I29,VLOOKUP($A$1,CompositeCN,$X7+1))</f>
        <v>96</v>
      </c>
      <c r="AA7" s="233">
        <f t="shared" ref="AA7:AA15" si="5">IFERROR(1000/Z7-10,0)</f>
        <v>0.41666666666666607</v>
      </c>
      <c r="AB7" s="235">
        <f>0.2*AA7+ModelCi</f>
        <v>0.13333333333333322</v>
      </c>
      <c r="AC7" s="253">
        <f t="shared" ref="AC7:AC14" ca="1" si="6">IF($D$3&lt;0.05*AA7,0,($D$3-AB7)^2/($D$3-AB7+AA7))</f>
        <v>0</v>
      </c>
      <c r="AD7" s="252"/>
      <c r="AE7" s="252"/>
      <c r="AF7" s="252"/>
      <c r="AG7" s="252"/>
      <c r="AH7" s="39"/>
      <c r="AI7" s="255" t="s">
        <v>134</v>
      </c>
      <c r="AJ7" s="289">
        <v>0</v>
      </c>
      <c r="AK7" s="289">
        <v>0</v>
      </c>
      <c r="AL7" s="289">
        <v>0</v>
      </c>
      <c r="AN7" s="221"/>
      <c r="AO7" s="221"/>
      <c r="AP7" s="221"/>
      <c r="AQ7" s="221"/>
      <c r="AR7" s="221"/>
      <c r="AS7" s="221"/>
    </row>
    <row r="8" spans="1:45" s="24" customFormat="1" x14ac:dyDescent="0.2">
      <c r="A8" s="32"/>
      <c r="C8" s="255" t="s">
        <v>135</v>
      </c>
      <c r="D8" s="34">
        <f>VLOOKUP($A$1,LANDCOVER,5)</f>
        <v>0</v>
      </c>
      <c r="E8" s="35" t="e">
        <f t="shared" si="0"/>
        <v>#DIV/0!</v>
      </c>
      <c r="F8" s="247">
        <f t="shared" ref="F8:F12" ca="1" si="7">IF($D$3&lt;0.05*AA8,0,($D$3-AB8)^2/($D$3-AB8+AA8))</f>
        <v>0</v>
      </c>
      <c r="G8" s="256">
        <f t="shared" ref="G8:G12" ca="1" si="8">D8*F8*43560/12/1000</f>
        <v>0</v>
      </c>
      <c r="H8" s="248"/>
      <c r="J8" s="33" t="s">
        <v>135</v>
      </c>
      <c r="K8" s="34">
        <f>VLOOKUP($A$1,LANDCOVERPOT,5)</f>
        <v>0</v>
      </c>
      <c r="L8" s="37" t="e">
        <f t="shared" si="1"/>
        <v>#DIV/0!</v>
      </c>
      <c r="M8" s="270">
        <f t="shared" ca="1" si="4"/>
        <v>0</v>
      </c>
      <c r="N8" s="266" t="e">
        <f ca="1">(Q8*(AC8-AG8)+S8*(AC8-AG9))*43560/12/1000</f>
        <v>#DIV/0!</v>
      </c>
      <c r="P8" s="33" t="s">
        <v>135</v>
      </c>
      <c r="Q8" s="245">
        <f ca="1">R6</f>
        <v>0</v>
      </c>
      <c r="R8" s="245">
        <f ca="1">Q6*(1-Summary!L13)</f>
        <v>0</v>
      </c>
      <c r="S8" s="245">
        <f ca="1">T12</f>
        <v>0</v>
      </c>
      <c r="T8" s="245">
        <f ca="1">SUM(S12,S13)*(1-INDIRECT("Summary!l"&amp;(12+A1)))</f>
        <v>0</v>
      </c>
      <c r="U8" s="244"/>
      <c r="V8" s="315">
        <f ca="1">D8-Q8+R8-S8+T8+U8</f>
        <v>0</v>
      </c>
      <c r="X8" s="38">
        <v>3</v>
      </c>
      <c r="Y8" s="231" t="str">
        <f t="shared" si="2"/>
        <v>Pervious</v>
      </c>
      <c r="Z8" s="232">
        <f>IF(D8&lt;=0,Z6-CNadj,VLOOKUP($A$1,CompositeCN,$X8+1))</f>
        <v>61</v>
      </c>
      <c r="AA8" s="233">
        <f t="shared" si="5"/>
        <v>6.3934426229508183</v>
      </c>
      <c r="AB8" s="235">
        <f t="shared" ref="AB8:AB15" si="9">0.2*AA8</f>
        <v>1.2786885245901638</v>
      </c>
      <c r="AC8" s="253">
        <f t="shared" ca="1" si="6"/>
        <v>0</v>
      </c>
      <c r="AD8" s="252" t="e">
        <f ca="1">INDIRECT("LC_HSG_Data!CU"&amp;(5+A1))</f>
        <v>#DIV/0!</v>
      </c>
      <c r="AE8" s="252">
        <f ca="1">IFERROR(1000/AD8-10,0)</f>
        <v>0</v>
      </c>
      <c r="AF8" s="252">
        <f t="shared" ref="AF8:AF9" ca="1" si="10">0.2*AE8</f>
        <v>0</v>
      </c>
      <c r="AG8" s="252" t="e">
        <f ca="1">IF($D$3&lt;0.05*AE8,0,($D$3-AF8)^2/($D$3-AF8+AE8))</f>
        <v>#DIV/0!</v>
      </c>
      <c r="AH8" s="39"/>
      <c r="AI8" s="255" t="s">
        <v>135</v>
      </c>
      <c r="AJ8" s="290">
        <v>0</v>
      </c>
      <c r="AK8" s="290">
        <v>0</v>
      </c>
      <c r="AL8" s="290">
        <v>0</v>
      </c>
      <c r="AN8" s="221"/>
      <c r="AO8" s="221"/>
      <c r="AP8" s="221"/>
      <c r="AQ8" s="221"/>
      <c r="AR8" s="221"/>
      <c r="AS8" s="221"/>
    </row>
    <row r="9" spans="1:45" s="24" customFormat="1" x14ac:dyDescent="0.2">
      <c r="A9" s="32"/>
      <c r="C9" s="255" t="s">
        <v>136</v>
      </c>
      <c r="D9" s="34">
        <f>VLOOKUP($A$1,LANDCOVER,6)</f>
        <v>0</v>
      </c>
      <c r="E9" s="35" t="e">
        <f t="shared" si="0"/>
        <v>#DIV/0!</v>
      </c>
      <c r="F9" s="247" t="e">
        <f t="shared" ca="1" si="7"/>
        <v>#DIV/0!</v>
      </c>
      <c r="G9" s="256" t="e">
        <f t="shared" ca="1" si="8"/>
        <v>#DIV/0!</v>
      </c>
      <c r="H9" s="249"/>
      <c r="J9" s="33" t="s">
        <v>136</v>
      </c>
      <c r="K9" s="34">
        <f>VLOOKUP($A$1,LANDCOVERPOT,6)</f>
        <v>0</v>
      </c>
      <c r="L9" s="37" t="e">
        <f t="shared" si="1"/>
        <v>#DIV/0!</v>
      </c>
      <c r="M9" s="270" t="e">
        <f t="shared" ca="1" si="4"/>
        <v>#DIV/0!</v>
      </c>
      <c r="N9" s="249"/>
      <c r="P9" s="33" t="s">
        <v>136</v>
      </c>
      <c r="Q9" s="245"/>
      <c r="R9" s="245"/>
      <c r="S9" s="245"/>
      <c r="T9" s="245"/>
      <c r="U9" s="245"/>
      <c r="V9" s="315">
        <f>D9</f>
        <v>0</v>
      </c>
      <c r="X9" s="38">
        <v>4</v>
      </c>
      <c r="Y9" s="231" t="str">
        <f t="shared" si="2"/>
        <v>Water</v>
      </c>
      <c r="Z9" s="232">
        <f>IF(D9&lt;=0,TheModel!I31,VLOOKUP($A$1,CompositeCN,$X9+1))</f>
        <v>100</v>
      </c>
      <c r="AA9" s="233">
        <f t="shared" si="5"/>
        <v>0</v>
      </c>
      <c r="AB9" s="235">
        <f t="shared" si="9"/>
        <v>0</v>
      </c>
      <c r="AC9" s="253" t="e">
        <f t="shared" ca="1" si="6"/>
        <v>#DIV/0!</v>
      </c>
      <c r="AD9" s="252" t="e">
        <f ca="1">INDIRECT("LC_HSG_Data!CV"&amp;(5+A1))</f>
        <v>#DIV/0!</v>
      </c>
      <c r="AE9" s="252">
        <f ca="1">IFERROR(1000/AD9-10,0)</f>
        <v>0</v>
      </c>
      <c r="AF9" s="252">
        <f t="shared" ca="1" si="10"/>
        <v>0</v>
      </c>
      <c r="AG9" s="252" t="e">
        <f ca="1">IF($D$3&lt;0.05*AE9,0,($D$3-AF9)^2/($D$3-AF9+AE9))</f>
        <v>#DIV/0!</v>
      </c>
      <c r="AH9" s="39"/>
      <c r="AI9" s="255" t="s">
        <v>136</v>
      </c>
      <c r="AJ9" s="290">
        <v>0</v>
      </c>
      <c r="AK9" s="290">
        <v>0</v>
      </c>
      <c r="AL9" s="290">
        <v>0</v>
      </c>
      <c r="AN9" s="221"/>
      <c r="AO9" s="221"/>
      <c r="AP9" s="221"/>
      <c r="AQ9" s="221"/>
      <c r="AR9" s="221"/>
      <c r="AS9" s="221"/>
    </row>
    <row r="10" spans="1:45" s="24" customFormat="1" x14ac:dyDescent="0.2">
      <c r="A10" s="32"/>
      <c r="C10" s="255" t="s">
        <v>137</v>
      </c>
      <c r="D10" s="34">
        <f>VLOOKUP($A$1,LANDCOVER,7)</f>
        <v>0</v>
      </c>
      <c r="E10" s="35" t="e">
        <f t="shared" si="0"/>
        <v>#DIV/0!</v>
      </c>
      <c r="F10" s="247">
        <f t="shared" ca="1" si="7"/>
        <v>0</v>
      </c>
      <c r="G10" s="256">
        <f t="shared" ca="1" si="8"/>
        <v>0</v>
      </c>
      <c r="H10" s="249"/>
      <c r="J10" s="33" t="s">
        <v>137</v>
      </c>
      <c r="K10" s="34">
        <f>VLOOKUP($A$1,LANDCOVERPOT,7)</f>
        <v>0</v>
      </c>
      <c r="L10" s="37" t="e">
        <f t="shared" si="1"/>
        <v>#DIV/0!</v>
      </c>
      <c r="M10" s="270">
        <f t="shared" ca="1" si="4"/>
        <v>0</v>
      </c>
      <c r="N10" s="266">
        <f ca="1">Q10*(AC10-AC7)*43560/12/1000</f>
        <v>0</v>
      </c>
      <c r="P10" s="33" t="s">
        <v>137</v>
      </c>
      <c r="Q10" s="245">
        <f ca="1">R7</f>
        <v>0</v>
      </c>
      <c r="R10" s="245">
        <f ca="1">Q6*(Summary!L13)</f>
        <v>0</v>
      </c>
      <c r="S10" s="245"/>
      <c r="T10" s="245">
        <f ca="1">SUM(S12,S13)*INDIRECT("Summary!l"&amp;(12+A1))</f>
        <v>0</v>
      </c>
      <c r="U10" s="245"/>
      <c r="V10" s="315">
        <f ca="1">D10-Q10+R10+T10+U10</f>
        <v>0</v>
      </c>
      <c r="X10" s="38">
        <v>5</v>
      </c>
      <c r="Y10" s="231" t="str">
        <f t="shared" si="2"/>
        <v>Impervious</v>
      </c>
      <c r="Z10" s="232">
        <f>IF(D10&lt;=0,Z7-CNadj,VLOOKUP($A$1,CompositeCN,$X10+1))</f>
        <v>98</v>
      </c>
      <c r="AA10" s="233">
        <f t="shared" si="5"/>
        <v>0.20408163265306101</v>
      </c>
      <c r="AB10" s="235">
        <f t="shared" si="9"/>
        <v>4.0816326530612207E-2</v>
      </c>
      <c r="AC10" s="253">
        <f t="shared" ca="1" si="6"/>
        <v>0</v>
      </c>
      <c r="AD10" s="253"/>
      <c r="AE10" s="253"/>
      <c r="AF10" s="253"/>
      <c r="AG10" s="253"/>
      <c r="AH10" s="39"/>
      <c r="AI10" s="255" t="s">
        <v>137</v>
      </c>
      <c r="AJ10" s="290">
        <v>0</v>
      </c>
      <c r="AK10" s="290">
        <v>0</v>
      </c>
      <c r="AL10" s="290">
        <v>0</v>
      </c>
      <c r="AN10" s="221"/>
      <c r="AO10" s="221"/>
      <c r="AP10" s="221"/>
      <c r="AQ10" s="221"/>
      <c r="AR10" s="221"/>
      <c r="AS10" s="221"/>
    </row>
    <row r="11" spans="1:45" s="24" customFormat="1" x14ac:dyDescent="0.2">
      <c r="A11" s="32"/>
      <c r="C11" s="255" t="s">
        <v>138</v>
      </c>
      <c r="D11" s="34">
        <f>VLOOKUP($A$1,LANDCOVER,8)</f>
        <v>0</v>
      </c>
      <c r="E11" s="35" t="e">
        <f t="shared" si="0"/>
        <v>#DIV/0!</v>
      </c>
      <c r="F11" s="247">
        <f t="shared" ca="1" si="7"/>
        <v>0</v>
      </c>
      <c r="G11" s="256">
        <f t="shared" ca="1" si="8"/>
        <v>0</v>
      </c>
      <c r="H11" s="249"/>
      <c r="J11" s="33" t="s">
        <v>138</v>
      </c>
      <c r="K11" s="34">
        <f>VLOOKUP($A$1,LANDCOVERPOT,8)</f>
        <v>0</v>
      </c>
      <c r="L11" s="37" t="e">
        <f t="shared" si="1"/>
        <v>#DIV/0!</v>
      </c>
      <c r="M11" s="270">
        <f t="shared" ca="1" si="4"/>
        <v>0</v>
      </c>
      <c r="N11" s="249"/>
      <c r="P11" s="33" t="s">
        <v>138</v>
      </c>
      <c r="Q11" s="245"/>
      <c r="R11" s="245"/>
      <c r="S11" s="245"/>
      <c r="T11" s="245"/>
      <c r="U11" s="245"/>
      <c r="V11" s="315">
        <f>D11</f>
        <v>0</v>
      </c>
      <c r="X11" s="38">
        <v>6</v>
      </c>
      <c r="Y11" s="231" t="str">
        <f t="shared" si="2"/>
        <v>Bare Earth</v>
      </c>
      <c r="Z11" s="232">
        <f>IF(D11&lt;=0,TheModel!I33,VLOOKUP($A$1,CompositeCN,$X11+1))</f>
        <v>86</v>
      </c>
      <c r="AA11" s="233">
        <f t="shared" si="5"/>
        <v>1.6279069767441854</v>
      </c>
      <c r="AB11" s="235">
        <f t="shared" si="9"/>
        <v>0.32558139534883712</v>
      </c>
      <c r="AC11" s="253">
        <f t="shared" ca="1" si="6"/>
        <v>0</v>
      </c>
      <c r="AD11" s="253"/>
      <c r="AE11" s="253"/>
      <c r="AF11" s="253"/>
      <c r="AG11" s="253"/>
      <c r="AH11" s="39"/>
      <c r="AI11" s="255" t="s">
        <v>138</v>
      </c>
      <c r="AJ11" s="290">
        <v>0</v>
      </c>
      <c r="AK11" s="290">
        <v>0</v>
      </c>
      <c r="AL11" s="290">
        <v>0</v>
      </c>
      <c r="AN11" s="221"/>
      <c r="AO11" s="221"/>
      <c r="AP11" s="221"/>
      <c r="AQ11" s="221"/>
      <c r="AR11" s="221"/>
      <c r="AS11" s="221"/>
    </row>
    <row r="12" spans="1:45" s="24" customFormat="1" x14ac:dyDescent="0.2">
      <c r="A12" s="32"/>
      <c r="C12" s="255" t="s">
        <v>139</v>
      </c>
      <c r="D12" s="34">
        <f>VLOOKUP($A$1,LANDCOVER,9)</f>
        <v>0</v>
      </c>
      <c r="E12" s="35" t="e">
        <f t="shared" si="0"/>
        <v>#DIV/0!</v>
      </c>
      <c r="F12" s="247">
        <f t="shared" ca="1" si="7"/>
        <v>0</v>
      </c>
      <c r="G12" s="256">
        <f t="shared" ca="1" si="8"/>
        <v>0</v>
      </c>
      <c r="H12" s="266">
        <f ca="1">IFERROR(($AG12/$AC12-1)*G12,0)</f>
        <v>0</v>
      </c>
      <c r="J12" s="33" t="s">
        <v>139</v>
      </c>
      <c r="K12" s="34">
        <f>VLOOKUP($A$1,LANDCOVERPOT,9)</f>
        <v>0</v>
      </c>
      <c r="L12" s="37" t="e">
        <f t="shared" si="1"/>
        <v>#DIV/0!</v>
      </c>
      <c r="M12" s="270">
        <f t="shared" ca="1" si="4"/>
        <v>0</v>
      </c>
      <c r="N12" s="250"/>
      <c r="P12" s="33" t="s">
        <v>139</v>
      </c>
      <c r="Q12" s="245"/>
      <c r="R12" s="245"/>
      <c r="S12" s="245">
        <f ca="1">D12*INDIRECT("Summary!k"&amp;(12+A1))</f>
        <v>0</v>
      </c>
      <c r="T12" s="245">
        <f ca="1">(K12-D12)*INDIRECT("Summary!p"&amp;(12+A1))</f>
        <v>0</v>
      </c>
      <c r="U12" s="245"/>
      <c r="V12" s="315">
        <f ca="1">D12-S12+T12</f>
        <v>0</v>
      </c>
      <c r="X12" s="38">
        <v>7</v>
      </c>
      <c r="Y12" s="231" t="str">
        <f t="shared" si="2"/>
        <v>Forested Open Space</v>
      </c>
      <c r="Z12" s="232">
        <f>IF(D12&lt;=0,TheModel!I34,VLOOKUP($A$1,CompositeCN,$X12+1))</f>
        <v>55</v>
      </c>
      <c r="AA12" s="233">
        <f t="shared" si="5"/>
        <v>8.1818181818181834</v>
      </c>
      <c r="AB12" s="235">
        <f t="shared" si="9"/>
        <v>1.6363636363636367</v>
      </c>
      <c r="AC12" s="253">
        <f t="shared" ca="1" si="6"/>
        <v>0</v>
      </c>
      <c r="AD12" s="252" t="e">
        <f ca="1">INDIRECT("LC_HSG_Data!CT"&amp;(5+A1))</f>
        <v>#DIV/0!</v>
      </c>
      <c r="AE12" s="252">
        <f ca="1">IFERROR(1000/AD12-10,0)</f>
        <v>0</v>
      </c>
      <c r="AF12" s="252">
        <f t="shared" ref="AF12:AF14" ca="1" si="11">0.2*AE12</f>
        <v>0</v>
      </c>
      <c r="AG12" s="252" t="e">
        <f ca="1">IF($D$3&lt;0.05*AE12,0,($D$3-AF12)^2/($D$3-AF12+AE12))</f>
        <v>#DIV/0!</v>
      </c>
      <c r="AH12" s="39"/>
      <c r="AI12" s="255" t="s">
        <v>139</v>
      </c>
      <c r="AJ12" s="291">
        <v>0</v>
      </c>
      <c r="AK12" s="291">
        <v>0</v>
      </c>
      <c r="AL12" s="291">
        <v>0</v>
      </c>
      <c r="AN12" s="221"/>
      <c r="AO12" s="221"/>
      <c r="AP12" s="221"/>
      <c r="AQ12" s="221"/>
      <c r="AR12" s="221"/>
      <c r="AS12" s="221"/>
    </row>
    <row r="13" spans="1:45" s="24" customFormat="1" x14ac:dyDescent="0.2">
      <c r="A13" s="32"/>
      <c r="C13" s="255" t="s">
        <v>140</v>
      </c>
      <c r="D13" s="34">
        <f>VLOOKUP($A$1,LANDCOVER,10)</f>
        <v>0</v>
      </c>
      <c r="E13" s="35" t="e">
        <f t="shared" si="0"/>
        <v>#DIV/0!</v>
      </c>
      <c r="F13" s="247">
        <f ca="1">IF($D$3&lt;0.05*AA13,0,($D$3-AB13)^2/($D$3-AB13+AA13))</f>
        <v>0</v>
      </c>
      <c r="G13" s="256">
        <f ca="1">D13*F13*43560/12/1000</f>
        <v>0</v>
      </c>
      <c r="H13" s="266">
        <f ca="1">IFERROR(($AG13/$AC13-1)*G13,0)</f>
        <v>0</v>
      </c>
      <c r="J13" s="33" t="s">
        <v>140</v>
      </c>
      <c r="K13" s="34">
        <f>VLOOKUP($A$1,LANDCOVERPOT,10)</f>
        <v>0</v>
      </c>
      <c r="L13" s="37" t="e">
        <f t="shared" si="1"/>
        <v>#DIV/0!</v>
      </c>
      <c r="M13" s="270">
        <f t="shared" ca="1" si="4"/>
        <v>0</v>
      </c>
      <c r="N13" s="250"/>
      <c r="P13" s="33" t="s">
        <v>140</v>
      </c>
      <c r="Q13" s="245"/>
      <c r="R13" s="245"/>
      <c r="S13" s="245">
        <f ca="1">D13*INDIRECT("Summary!k"&amp;(12+A1))</f>
        <v>0</v>
      </c>
      <c r="T13" s="245"/>
      <c r="U13" s="245"/>
      <c r="V13" s="315">
        <f ca="1">D13-S13</f>
        <v>0</v>
      </c>
      <c r="X13" s="38">
        <v>8</v>
      </c>
      <c r="Y13" s="231" t="str">
        <f t="shared" si="2"/>
        <v>Forested Wetlands</v>
      </c>
      <c r="Z13" s="232">
        <f>IF(D13&lt;=0,TheModel!I35,VLOOKUP($A$1,CompositeCN,$X13+1))</f>
        <v>77</v>
      </c>
      <c r="AA13" s="233">
        <f t="shared" si="5"/>
        <v>2.9870129870129869</v>
      </c>
      <c r="AB13" s="235">
        <f t="shared" si="9"/>
        <v>0.59740259740259738</v>
      </c>
      <c r="AC13" s="253">
        <f ca="1">IF($D$3&lt;0.05*AA13,0,($D$3-AB13)^2/($D$3-AB13+AA13))</f>
        <v>0</v>
      </c>
      <c r="AD13" s="252">
        <f>Z14</f>
        <v>100</v>
      </c>
      <c r="AE13" s="252">
        <f>IFERROR(1000/AD13-10,0)</f>
        <v>0</v>
      </c>
      <c r="AF13" s="252">
        <f t="shared" si="11"/>
        <v>0</v>
      </c>
      <c r="AG13" s="252" t="e">
        <f ca="1">IF($D$3&lt;0.05*AE13,0,($D$3-AF13)^2/($D$3-AF13+AE13))</f>
        <v>#DIV/0!</v>
      </c>
      <c r="AH13" s="39"/>
      <c r="AI13" s="255" t="s">
        <v>140</v>
      </c>
      <c r="AJ13" s="291">
        <v>0</v>
      </c>
      <c r="AK13" s="291">
        <v>0</v>
      </c>
      <c r="AL13" s="291">
        <v>0</v>
      </c>
      <c r="AN13" s="221"/>
      <c r="AO13" s="221"/>
      <c r="AP13" s="221"/>
      <c r="AQ13" s="221"/>
      <c r="AR13" s="221"/>
      <c r="AS13" s="221"/>
    </row>
    <row r="14" spans="1:45" s="24" customFormat="1" x14ac:dyDescent="0.2">
      <c r="A14" s="32"/>
      <c r="C14" s="255" t="s">
        <v>141</v>
      </c>
      <c r="D14" s="34">
        <f>VLOOKUP($A$1,LANDCOVER,11)</f>
        <v>0</v>
      </c>
      <c r="E14" s="35" t="e">
        <f t="shared" si="0"/>
        <v>#DIV/0!</v>
      </c>
      <c r="F14" s="247" t="e">
        <f ca="1">IF($D$3&lt;0.05*AA14,0,($D$3-AB14)^2/($D$3-AB14+AA14))</f>
        <v>#DIV/0!</v>
      </c>
      <c r="G14" s="256" t="e">
        <f t="shared" ref="G14" ca="1" si="12">D14*$F14*43560/12/1000</f>
        <v>#DIV/0!</v>
      </c>
      <c r="H14" s="250"/>
      <c r="J14" s="33" t="s">
        <v>141</v>
      </c>
      <c r="K14" s="34">
        <f>VLOOKUP($A$1,LANDCOVERPOT,11)</f>
        <v>0</v>
      </c>
      <c r="L14" s="37" t="e">
        <f t="shared" si="1"/>
        <v>#DIV/0!</v>
      </c>
      <c r="M14" s="270" t="e">
        <f t="shared" ca="1" si="4"/>
        <v>#DIV/0!</v>
      </c>
      <c r="N14" s="250"/>
      <c r="P14" s="33" t="s">
        <v>141</v>
      </c>
      <c r="Q14" s="245"/>
      <c r="R14" s="245"/>
      <c r="S14" s="245"/>
      <c r="T14" s="245"/>
      <c r="U14" s="245"/>
      <c r="V14" s="315">
        <f>D14</f>
        <v>0</v>
      </c>
      <c r="X14" s="38">
        <v>9</v>
      </c>
      <c r="Y14" s="231" t="str">
        <f t="shared" si="2"/>
        <v>Wetlands</v>
      </c>
      <c r="Z14" s="232">
        <f>IF(D14&lt;=0,TheModel!I36,VLOOKUP($A$1,CompositeCN,$X14+1))</f>
        <v>100</v>
      </c>
      <c r="AA14" s="233">
        <f t="shared" si="5"/>
        <v>0</v>
      </c>
      <c r="AB14" s="235">
        <f t="shared" si="9"/>
        <v>0</v>
      </c>
      <c r="AC14" s="253" t="e">
        <f t="shared" ca="1" si="6"/>
        <v>#DIV/0!</v>
      </c>
      <c r="AD14" s="252">
        <v>80</v>
      </c>
      <c r="AE14" s="252">
        <f>IFERROR(1000/AD14-10,0)</f>
        <v>2.5</v>
      </c>
      <c r="AF14" s="252">
        <f t="shared" si="11"/>
        <v>0.5</v>
      </c>
      <c r="AG14" s="252">
        <f ca="1">IF($D$3&lt;0.05*AE14,0,($D$3-AF14)^2/($D$3-AF14+AE14))</f>
        <v>0</v>
      </c>
      <c r="AH14" s="39"/>
      <c r="AI14" s="255" t="s">
        <v>141</v>
      </c>
      <c r="AJ14" s="290">
        <v>0</v>
      </c>
      <c r="AK14" s="290">
        <v>0</v>
      </c>
      <c r="AL14" s="290">
        <v>0</v>
      </c>
      <c r="AN14" s="221"/>
      <c r="AO14" s="221"/>
      <c r="AP14" s="221"/>
      <c r="AQ14" s="221"/>
      <c r="AR14" s="221"/>
      <c r="AS14" s="221"/>
    </row>
    <row r="15" spans="1:45" x14ac:dyDescent="0.25">
      <c r="A15" s="32"/>
      <c r="B15" s="24"/>
      <c r="C15" s="255" t="s">
        <v>142</v>
      </c>
      <c r="D15" s="34">
        <f>VLOOKUP($A$1,LANDCOVER,12)</f>
        <v>0</v>
      </c>
      <c r="E15" s="35" t="e">
        <f t="shared" si="0"/>
        <v>#DIV/0!</v>
      </c>
      <c r="F15" s="247">
        <f ca="1">IF($D$3&lt;0.05*AA15,0,($D$3-AB15)^2/($D$3-AB15+AA15))</f>
        <v>0</v>
      </c>
      <c r="G15" s="256">
        <f ca="1">D15*$F15*43560/12/1000</f>
        <v>0</v>
      </c>
      <c r="H15" s="250"/>
      <c r="I15" s="24"/>
      <c r="J15" s="33" t="s">
        <v>142</v>
      </c>
      <c r="K15" s="34">
        <f>VLOOKUP($A$1,LANDCOVERPOT,12)</f>
        <v>0</v>
      </c>
      <c r="L15" s="37" t="e">
        <f t="shared" si="1"/>
        <v>#DIV/0!</v>
      </c>
      <c r="M15" s="270">
        <f t="shared" ca="1" si="4"/>
        <v>0</v>
      </c>
      <c r="N15" s="250"/>
      <c r="O15" s="24"/>
      <c r="P15" s="33" t="s">
        <v>142</v>
      </c>
      <c r="Q15" s="245"/>
      <c r="R15" s="245"/>
      <c r="S15" s="245"/>
      <c r="T15" s="245"/>
      <c r="U15" s="245"/>
      <c r="V15" s="315">
        <f>D15</f>
        <v>0</v>
      </c>
      <c r="W15" s="24"/>
      <c r="X15" s="38">
        <v>10</v>
      </c>
      <c r="Y15" s="231" t="str">
        <f t="shared" si="2"/>
        <v>Scrub/Shrub/Palm</v>
      </c>
      <c r="Z15" s="232">
        <f>IF(D15&lt;=0,TheModel!I37,VLOOKUP($A$1,CompositeCN,$X15+1))</f>
        <v>60</v>
      </c>
      <c r="AA15" s="233">
        <f t="shared" si="5"/>
        <v>6.6666666666666679</v>
      </c>
      <c r="AB15" s="233">
        <f t="shared" si="9"/>
        <v>1.3333333333333337</v>
      </c>
      <c r="AC15" s="236">
        <f ca="1">IF($D$3&lt;0.05*AA15,0,($D$3-AB15)^2/($D$3-A15+AA15))</f>
        <v>0</v>
      </c>
      <c r="AD15" s="236"/>
      <c r="AE15" s="236"/>
      <c r="AF15" s="236"/>
      <c r="AG15" s="236"/>
      <c r="AH15" s="43"/>
      <c r="AI15" s="292" t="s">
        <v>142</v>
      </c>
      <c r="AJ15" s="293">
        <v>0</v>
      </c>
      <c r="AK15" s="293">
        <v>0</v>
      </c>
      <c r="AL15" s="293">
        <v>0</v>
      </c>
      <c r="AN15" s="271"/>
      <c r="AO15" s="271"/>
      <c r="AP15" s="271"/>
      <c r="AQ15" s="271"/>
      <c r="AR15" s="271"/>
      <c r="AS15" s="271"/>
    </row>
    <row r="16" spans="1:45" x14ac:dyDescent="0.25">
      <c r="C16" s="40" t="s">
        <v>143</v>
      </c>
      <c r="D16" s="41">
        <f>SUM(D6:D15)</f>
        <v>0</v>
      </c>
      <c r="E16" s="42"/>
      <c r="F16" s="42"/>
      <c r="G16" s="41" t="e">
        <f ca="1">SUM(G6:G15)</f>
        <v>#DIV/0!</v>
      </c>
      <c r="H16" s="41">
        <f ca="1">SUM(H6:H15)</f>
        <v>0</v>
      </c>
      <c r="J16" s="40" t="s">
        <v>143</v>
      </c>
      <c r="K16" s="41">
        <f>SUM(K6:K15)</f>
        <v>0</v>
      </c>
      <c r="L16" s="41"/>
      <c r="M16" s="41" t="e">
        <f ca="1">SUM(M6:M15)</f>
        <v>#DIV/0!</v>
      </c>
      <c r="N16" s="227" t="e">
        <f ca="1">SUM(N6:N15)</f>
        <v>#DIV/0!</v>
      </c>
      <c r="P16" s="40" t="s">
        <v>143</v>
      </c>
      <c r="Q16" s="246">
        <f ca="1">SUM(Q6:Q15)</f>
        <v>0</v>
      </c>
      <c r="R16" s="246">
        <f ca="1">SUM(R6:R15)</f>
        <v>0</v>
      </c>
      <c r="S16" s="246">
        <f t="shared" ref="S16:T16" ca="1" si="13">SUM(S6:S15)</f>
        <v>0</v>
      </c>
      <c r="T16" s="246">
        <f t="shared" ca="1" si="13"/>
        <v>0</v>
      </c>
      <c r="U16" s="246">
        <f ca="1">D16-V16</f>
        <v>0</v>
      </c>
      <c r="V16" s="316">
        <f ca="1">SUM(V6:V15)</f>
        <v>0</v>
      </c>
      <c r="Y16" s="393" t="s">
        <v>144</v>
      </c>
      <c r="Z16" s="393"/>
      <c r="AA16" s="393"/>
      <c r="AB16" s="393"/>
      <c r="AC16" s="393"/>
      <c r="AD16" s="393"/>
      <c r="AE16" s="393"/>
      <c r="AF16" s="43"/>
      <c r="AG16" s="43"/>
      <c r="AH16" s="43"/>
      <c r="AI16" s="294" t="s">
        <v>145</v>
      </c>
      <c r="AJ16" s="295">
        <f>SUM(AJ6:AJ15)</f>
        <v>0</v>
      </c>
      <c r="AK16" s="295">
        <f t="shared" ref="AK16:AL16" si="14">SUM(AK6:AK15)</f>
        <v>0</v>
      </c>
      <c r="AL16" s="296">
        <f t="shared" si="14"/>
        <v>0</v>
      </c>
    </row>
    <row r="17" spans="1:38" ht="15.75" customHeight="1" x14ac:dyDescent="0.25">
      <c r="C17" s="44"/>
      <c r="D17" s="45"/>
      <c r="E17" s="46"/>
      <c r="F17" s="46"/>
      <c r="G17" s="45"/>
      <c r="J17" s="44"/>
      <c r="K17" s="45"/>
      <c r="L17" s="45"/>
      <c r="M17" s="45"/>
      <c r="N17" s="47"/>
      <c r="Z17" s="394" t="s">
        <v>146</v>
      </c>
      <c r="AA17" s="394"/>
      <c r="AB17" s="394"/>
      <c r="AC17" s="394"/>
      <c r="AD17" s="394"/>
      <c r="AE17" s="394"/>
      <c r="AF17" s="43"/>
      <c r="AG17" s="43"/>
      <c r="AH17" s="43"/>
      <c r="AI17" s="297" t="s">
        <v>147</v>
      </c>
      <c r="AJ17" s="298">
        <f t="array" ref="AJ17:AL17">SUM(D6,D8,D12)*pervious+SUM(D7,D10)*impervious+D11*bare+SUM(D13,D14)*wetland-AJ16:AL16</f>
        <v>0</v>
      </c>
      <c r="AK17" s="298">
        <v>0</v>
      </c>
      <c r="AL17" s="299">
        <v>0</v>
      </c>
    </row>
    <row r="18" spans="1:38" ht="15" customHeight="1" x14ac:dyDescent="0.25">
      <c r="C18" s="378" t="s">
        <v>148</v>
      </c>
      <c r="D18" s="362"/>
      <c r="E18" s="362"/>
      <c r="F18" s="362"/>
      <c r="G18" s="362"/>
      <c r="H18" s="379"/>
      <c r="J18" s="380" t="s">
        <v>148</v>
      </c>
      <c r="K18" s="380"/>
      <c r="L18" s="380"/>
      <c r="M18" s="380"/>
      <c r="N18" s="380"/>
      <c r="U18" s="117"/>
      <c r="V18" s="117"/>
      <c r="Y18" s="218" t="s">
        <v>149</v>
      </c>
      <c r="Z18" s="237" t="s">
        <v>150</v>
      </c>
      <c r="AA18" s="238" t="s">
        <v>151</v>
      </c>
      <c r="AB18" s="239" t="s">
        <v>152</v>
      </c>
      <c r="AC18" s="237" t="s">
        <v>150</v>
      </c>
      <c r="AD18" s="238" t="s">
        <v>151</v>
      </c>
      <c r="AE18" s="239" t="s">
        <v>152</v>
      </c>
      <c r="AF18" s="43"/>
      <c r="AG18" s="43"/>
      <c r="AI18" s="297" t="s">
        <v>153</v>
      </c>
      <c r="AJ18" s="300" t="e">
        <f>AJ17/SUM(ABS(AJ17),AJ16)*100</f>
        <v>#DIV/0!</v>
      </c>
      <c r="AK18" s="300" t="e">
        <f>AK17/SUM(ABS(AK17),AK16)*100</f>
        <v>#DIV/0!</v>
      </c>
      <c r="AL18" s="301" t="e">
        <f>AL17/SUM(ABS(AL17),AL16)*100</f>
        <v>#DIV/0!</v>
      </c>
    </row>
    <row r="19" spans="1:38" s="24" customFormat="1" ht="15.75" customHeight="1" x14ac:dyDescent="0.25">
      <c r="A19"/>
      <c r="B19"/>
      <c r="C19" s="204" t="s">
        <v>154</v>
      </c>
      <c r="D19" s="204"/>
      <c r="E19" s="206"/>
      <c r="F19" s="396" t="s">
        <v>155</v>
      </c>
      <c r="G19" s="396"/>
      <c r="H19" s="207" t="e">
        <f>D36/D35</f>
        <v>#DIV/0!</v>
      </c>
      <c r="I19"/>
      <c r="J19" s="204" t="s">
        <v>154</v>
      </c>
      <c r="K19" s="204"/>
      <c r="L19" s="204"/>
      <c r="M19" s="213" t="s">
        <v>156</v>
      </c>
      <c r="N19" s="207" t="e">
        <f>D37/D35</f>
        <v>#DIV/0!</v>
      </c>
      <c r="O19"/>
      <c r="P19"/>
      <c r="Q19"/>
      <c r="R19"/>
      <c r="S19"/>
      <c r="T19"/>
      <c r="U19"/>
      <c r="V19"/>
      <c r="W19"/>
      <c r="X19"/>
      <c r="Y19" s="176" t="s">
        <v>133</v>
      </c>
      <c r="Z19" s="273" t="e">
        <f ca="1">AG6-AC6</f>
        <v>#DIV/0!</v>
      </c>
      <c r="AA19" s="274">
        <f ca="1">AC10-AC6</f>
        <v>0</v>
      </c>
      <c r="AB19" s="275"/>
      <c r="AC19" s="273" t="e">
        <f ca="1">Z19*(D6*E24)*(1-E25)*LossCF</f>
        <v>#DIV/0!</v>
      </c>
      <c r="AD19" s="276">
        <f ca="1">AA19*(E24*D6)*(E25)*LossCF</f>
        <v>0</v>
      </c>
      <c r="AE19" s="277"/>
      <c r="AF19"/>
      <c r="AG19"/>
      <c r="AI19" s="297"/>
      <c r="AJ19" s="298"/>
      <c r="AK19" s="298"/>
      <c r="AL19" s="299"/>
    </row>
    <row r="20" spans="1:38" s="24" customFormat="1" ht="15.75" customHeight="1" x14ac:dyDescent="0.25">
      <c r="A20" s="48"/>
      <c r="C20" s="208" t="s">
        <v>157</v>
      </c>
      <c r="D20" s="208"/>
      <c r="E20" s="208"/>
      <c r="F20" s="397" t="s">
        <v>155</v>
      </c>
      <c r="G20" s="397"/>
      <c r="H20" s="207">
        <f>IFERROR(D10/D35,0)</f>
        <v>0</v>
      </c>
      <c r="J20" s="208" t="s">
        <v>157</v>
      </c>
      <c r="K20" s="208"/>
      <c r="L20" s="208"/>
      <c r="M20" s="214" t="s">
        <v>158</v>
      </c>
      <c r="N20" s="207" t="e">
        <f>K10/SUM(K16,-K9)</f>
        <v>#DIV/0!</v>
      </c>
      <c r="Y20" s="177" t="s">
        <v>134</v>
      </c>
      <c r="Z20" s="262"/>
      <c r="AA20" s="260">
        <f ca="1">AC10-AC7</f>
        <v>0</v>
      </c>
      <c r="AB20" s="261"/>
      <c r="AC20" s="262"/>
      <c r="AD20" s="260">
        <f ca="1">AA20*D7*E24*LossCF</f>
        <v>0</v>
      </c>
      <c r="AE20" s="261"/>
      <c r="AI20" s="297" t="s">
        <v>159</v>
      </c>
      <c r="AJ20" s="298">
        <f t="array" ref="AJ20">SUM(K6:K15*nloads)</f>
        <v>0</v>
      </c>
      <c r="AK20" s="298">
        <f t="array" ref="AK20">SUM(K6:K15*ploads)</f>
        <v>0</v>
      </c>
      <c r="AL20" s="299">
        <f t="array" ref="AL20">SUM(K6:K15*sedloads)</f>
        <v>0</v>
      </c>
    </row>
    <row r="21" spans="1:38" s="24" customFormat="1" ht="15.75" customHeight="1" x14ac:dyDescent="0.25">
      <c r="A21" s="48"/>
      <c r="C21" s="209" t="s">
        <v>160</v>
      </c>
      <c r="D21" s="209"/>
      <c r="E21" s="210"/>
      <c r="F21" s="398" t="str">
        <f ca="1">C3</f>
        <v>1 yr / 24 hour      </v>
      </c>
      <c r="G21" s="398"/>
      <c r="H21" s="211" t="e">
        <f ca="1">H16/G16</f>
        <v>#DIV/0!</v>
      </c>
      <c r="J21" s="209" t="s">
        <v>161</v>
      </c>
      <c r="K21" s="209"/>
      <c r="L21" s="210"/>
      <c r="M21" s="215" t="s">
        <v>156</v>
      </c>
      <c r="N21" s="229" t="e">
        <f ca="1">N22/H22</f>
        <v>#DIV/0!</v>
      </c>
      <c r="Y21" s="177" t="s">
        <v>139</v>
      </c>
      <c r="Z21" s="278" t="e">
        <f ca="1">AG12-AC12</f>
        <v>#DIV/0!</v>
      </c>
      <c r="AA21" s="263">
        <f ca="1">AC10-AC12</f>
        <v>0</v>
      </c>
      <c r="AB21" s="264"/>
      <c r="AC21" s="265" t="e">
        <f ca="1">Z21*D12*E27*(1-E28)*LossCF</f>
        <v>#DIV/0!</v>
      </c>
      <c r="AD21" s="260">
        <f ca="1">AA21*D12*E27*E28*LossCF</f>
        <v>0</v>
      </c>
      <c r="AE21" s="261"/>
      <c r="AI21" s="297" t="s">
        <v>162</v>
      </c>
      <c r="AJ21" s="298">
        <f t="array" ref="AJ21:AL21">AJ16:AL16-AJ20:AL20</f>
        <v>0</v>
      </c>
      <c r="AK21" s="298">
        <v>0</v>
      </c>
      <c r="AL21" s="299">
        <v>0</v>
      </c>
    </row>
    <row r="22" spans="1:38" s="24" customFormat="1" ht="15.75" customHeight="1" x14ac:dyDescent="0.25">
      <c r="A22" s="48"/>
      <c r="C22" s="386" t="s">
        <v>163</v>
      </c>
      <c r="D22" s="386"/>
      <c r="E22" s="210"/>
      <c r="F22" s="398" t="str">
        <f ca="1">C3</f>
        <v>1 yr / 24 hour      </v>
      </c>
      <c r="G22" s="398"/>
      <c r="H22" s="212">
        <f ca="1">H16*7.48052/1000</f>
        <v>0</v>
      </c>
      <c r="J22" s="386" t="s">
        <v>164</v>
      </c>
      <c r="K22" s="386"/>
      <c r="L22" s="216" t="s">
        <v>156</v>
      </c>
      <c r="M22" s="228" t="s">
        <v>156</v>
      </c>
      <c r="N22" s="267" t="e">
        <f ca="1">N16*7.48052/1000</f>
        <v>#DIV/0!</v>
      </c>
      <c r="O22" s="49"/>
      <c r="P22" s="49"/>
      <c r="Q22" s="49"/>
      <c r="R22" s="49"/>
      <c r="S22" s="49"/>
      <c r="T22" s="49"/>
      <c r="U22" s="49"/>
      <c r="V22" s="49"/>
      <c r="W22" s="49"/>
      <c r="Y22" s="177" t="s">
        <v>140</v>
      </c>
      <c r="Z22" s="279">
        <f ca="1">AG14-AC13</f>
        <v>0</v>
      </c>
      <c r="AA22" s="280">
        <f ca="1">AC10-AC13</f>
        <v>0</v>
      </c>
      <c r="AB22" s="281"/>
      <c r="AC22" s="279">
        <f ca="1">Z22*D13*E27*(1-E28)*LossCF</f>
        <v>0</v>
      </c>
      <c r="AD22" s="282">
        <f ca="1">AA22*D13*E27*E28*LossCF</f>
        <v>0</v>
      </c>
      <c r="AE22" s="283"/>
      <c r="AI22" s="297" t="s">
        <v>165</v>
      </c>
      <c r="AJ22" s="300" t="e">
        <f>AJ21/AJ16*100</f>
        <v>#DIV/0!</v>
      </c>
      <c r="AK22" s="300" t="e">
        <f>AK21/AK16*100</f>
        <v>#DIV/0!</v>
      </c>
      <c r="AL22" s="301" t="e">
        <f>AL21/AL16*100</f>
        <v>#DIV/0!</v>
      </c>
    </row>
    <row r="23" spans="1:38" s="24" customFormat="1" ht="15.75" customHeight="1" x14ac:dyDescent="0.25">
      <c r="A23" s="48"/>
      <c r="C23" s="399" t="s">
        <v>166</v>
      </c>
      <c r="D23" s="399"/>
      <c r="E23" s="399"/>
      <c r="F23" s="399"/>
      <c r="G23" s="399"/>
      <c r="H23" s="399"/>
      <c r="J23" s="51"/>
      <c r="K23" s="51"/>
      <c r="L23" s="52"/>
      <c r="M23" s="53"/>
      <c r="N23" s="54"/>
      <c r="O23" s="49"/>
      <c r="P23" s="49"/>
      <c r="Q23" s="49"/>
      <c r="R23" s="49"/>
      <c r="S23" s="49"/>
      <c r="T23" s="49"/>
      <c r="U23" s="49"/>
      <c r="V23" s="49"/>
      <c r="W23" s="49"/>
      <c r="Y23" s="50">
        <f>43560/12/1000*7.48052/1000</f>
        <v>2.71542876E-2</v>
      </c>
      <c r="Z23" s="400" t="s">
        <v>167</v>
      </c>
      <c r="AA23" s="401"/>
      <c r="AB23" s="401"/>
      <c r="AC23" s="400" t="s">
        <v>64</v>
      </c>
      <c r="AD23" s="401"/>
      <c r="AE23" s="402"/>
      <c r="AI23" s="302"/>
      <c r="AL23" s="303"/>
    </row>
    <row r="24" spans="1:38" s="24" customFormat="1" ht="15.75" customHeight="1" x14ac:dyDescent="0.25">
      <c r="A24" s="48"/>
      <c r="C24" s="403" t="s">
        <v>168</v>
      </c>
      <c r="D24" s="403"/>
      <c r="E24" s="193">
        <f ca="1">INDIRECT("Summary!j"&amp;(12+A1))</f>
        <v>0</v>
      </c>
      <c r="F24" s="404" t="s">
        <v>169</v>
      </c>
      <c r="G24" s="404"/>
      <c r="H24" s="404"/>
      <c r="J24" s="405" t="s">
        <v>170</v>
      </c>
      <c r="K24" s="405"/>
      <c r="L24" s="405"/>
      <c r="M24" s="405"/>
      <c r="N24" s="203" t="str">
        <f ca="1">INDIRECT("Summary!h"&amp;(12+A1))</f>
        <v/>
      </c>
      <c r="O24" s="49"/>
      <c r="P24" s="49"/>
      <c r="Q24" s="49"/>
      <c r="R24" s="49"/>
      <c r="S24" s="49"/>
      <c r="T24" s="49"/>
      <c r="U24" s="49"/>
      <c r="V24" s="49"/>
      <c r="W24" s="49"/>
      <c r="Y24" s="330" t="s">
        <v>171</v>
      </c>
      <c r="AI24" s="304" t="s">
        <v>172</v>
      </c>
      <c r="AJ24" s="305">
        <f t="array" aca="1" ref="AJ24" ca="1">SUMPRODUCT(V6:V15,nloads)</f>
        <v>0</v>
      </c>
      <c r="AK24" s="305">
        <f ca="1">SUMPRODUCT(V6:V15,ploads)</f>
        <v>0</v>
      </c>
      <c r="AL24" s="306">
        <f ca="1">SUMPRODUCT(V6:V15,sedloads)</f>
        <v>0</v>
      </c>
    </row>
    <row r="25" spans="1:38" s="24" customFormat="1" ht="15.75" customHeight="1" x14ac:dyDescent="0.25">
      <c r="A25" s="48"/>
      <c r="C25" s="403"/>
      <c r="D25" s="403"/>
      <c r="E25" s="193">
        <f ca="1">INDIRECT("Summary!L"&amp;(12+A1))</f>
        <v>0</v>
      </c>
      <c r="F25" s="404" t="s">
        <v>173</v>
      </c>
      <c r="G25" s="404"/>
      <c r="H25" s="404"/>
      <c r="J25" s="204" t="s">
        <v>174</v>
      </c>
      <c r="K25" s="406" t="s">
        <v>64</v>
      </c>
      <c r="L25" s="406"/>
      <c r="M25" s="406"/>
      <c r="N25" s="205" t="e">
        <f ca="1">H22+N22</f>
        <v>#DIV/0!</v>
      </c>
      <c r="O25" s="49"/>
      <c r="P25" s="49"/>
      <c r="Q25" s="49"/>
      <c r="R25" s="49"/>
      <c r="S25" s="49"/>
      <c r="T25" s="49"/>
      <c r="U25" s="49"/>
      <c r="V25" s="49"/>
      <c r="W25" s="49"/>
      <c r="Y25" s="330" t="s">
        <v>175</v>
      </c>
      <c r="AI25" s="304" t="s">
        <v>176</v>
      </c>
      <c r="AJ25" s="305">
        <f ca="1">AJ24-AJ16</f>
        <v>0</v>
      </c>
      <c r="AK25" s="305">
        <f t="shared" ref="AK25:AL25" ca="1" si="15">AK24-AK16</f>
        <v>0</v>
      </c>
      <c r="AL25" s="306">
        <f t="shared" ca="1" si="15"/>
        <v>0</v>
      </c>
    </row>
    <row r="26" spans="1:38" ht="21" x14ac:dyDescent="0.25">
      <c r="A26" s="48"/>
      <c r="B26" s="24"/>
      <c r="C26" s="407" t="s">
        <v>177</v>
      </c>
      <c r="D26" s="407"/>
      <c r="E26" s="194" t="e">
        <f ca="1">SUM(AC19:AE20)</f>
        <v>#DIV/0!</v>
      </c>
      <c r="F26" s="404" t="s">
        <v>64</v>
      </c>
      <c r="G26" s="404"/>
      <c r="H26" s="404"/>
      <c r="I26" s="24"/>
      <c r="J26" s="55"/>
      <c r="K26" s="56"/>
      <c r="L26" s="57"/>
      <c r="M26" s="58"/>
      <c r="N26" s="59"/>
      <c r="O26" s="49"/>
      <c r="P26" s="49"/>
      <c r="Q26" s="49"/>
      <c r="R26" s="49"/>
      <c r="S26" s="49"/>
      <c r="T26" s="49"/>
      <c r="U26" s="49"/>
      <c r="V26" s="49"/>
      <c r="W26" s="49"/>
      <c r="X26" s="24"/>
      <c r="Y26" s="330" t="s">
        <v>178</v>
      </c>
      <c r="Z26" s="24"/>
      <c r="AA26" s="24"/>
      <c r="AB26" s="24"/>
      <c r="AC26" s="24"/>
      <c r="AD26" s="24"/>
      <c r="AE26" s="24"/>
      <c r="AF26" s="24"/>
      <c r="AG26" s="24"/>
      <c r="AI26" s="307" t="s">
        <v>179</v>
      </c>
      <c r="AJ26" s="308" t="e">
        <f ca="1">(AJ24-AJ16)/AJ16*100</f>
        <v>#DIV/0!</v>
      </c>
      <c r="AK26" s="308" t="e">
        <f t="shared" ref="AK26:AL26" ca="1" si="16">(AK24-AK16)/AK16*100</f>
        <v>#DIV/0!</v>
      </c>
      <c r="AL26" s="309" t="e">
        <f t="shared" ca="1" si="16"/>
        <v>#DIV/0!</v>
      </c>
    </row>
    <row r="27" spans="1:38" x14ac:dyDescent="0.25">
      <c r="C27" s="403" t="s">
        <v>180</v>
      </c>
      <c r="D27" s="403"/>
      <c r="E27" s="193">
        <f ca="1">INDIRECT("Summary!k"&amp;(12+A1))</f>
        <v>0</v>
      </c>
      <c r="F27" s="404" t="s">
        <v>181</v>
      </c>
      <c r="G27" s="404"/>
      <c r="H27" s="404"/>
      <c r="Y27" s="330" t="s">
        <v>289</v>
      </c>
      <c r="AI27" s="24"/>
      <c r="AJ27" s="24"/>
      <c r="AK27" s="24"/>
      <c r="AL27" s="24"/>
    </row>
    <row r="28" spans="1:38" x14ac:dyDescent="0.25">
      <c r="C28" s="403"/>
      <c r="D28" s="403"/>
      <c r="E28" s="193">
        <f ca="1">INDIRECT("Summary!L"&amp;(12+A1))</f>
        <v>0</v>
      </c>
      <c r="F28" s="404" t="s">
        <v>173</v>
      </c>
      <c r="G28" s="404"/>
      <c r="H28" s="404"/>
      <c r="AI28" s="24"/>
      <c r="AJ28" s="24"/>
      <c r="AK28" s="24"/>
      <c r="AL28" s="221"/>
    </row>
    <row r="29" spans="1:38" x14ac:dyDescent="0.25">
      <c r="C29" s="407" t="s">
        <v>177</v>
      </c>
      <c r="D29" s="407"/>
      <c r="E29" s="195" t="e">
        <f ca="1">SUM(AC21:AE22)</f>
        <v>#DIV/0!</v>
      </c>
      <c r="F29" s="333" t="s">
        <v>64</v>
      </c>
      <c r="G29" s="333"/>
      <c r="H29" s="198"/>
      <c r="AI29" s="24"/>
      <c r="AJ29" s="24"/>
      <c r="AK29" s="24"/>
      <c r="AL29" s="24"/>
    </row>
    <row r="30" spans="1:38" x14ac:dyDescent="0.25">
      <c r="C30" s="199" t="s">
        <v>182</v>
      </c>
      <c r="D30" s="200"/>
      <c r="E30" s="196">
        <f ca="1">IFERROR((E24*SUM(D6:D7)+E27*SUM(D12:D13))/SUM(D6:D7,D12:D13),0)</f>
        <v>0</v>
      </c>
      <c r="F30" s="199" t="s">
        <v>183</v>
      </c>
      <c r="G30" s="199"/>
      <c r="H30" s="200"/>
    </row>
    <row r="31" spans="1:38" x14ac:dyDescent="0.25">
      <c r="C31" s="408" t="s">
        <v>177</v>
      </c>
      <c r="D31" s="408"/>
      <c r="E31" s="197">
        <f ca="1">IFERROR(SUM(E26,E29),0)</f>
        <v>0</v>
      </c>
      <c r="F31" s="201" t="s">
        <v>64</v>
      </c>
      <c r="G31" s="333"/>
      <c r="H31" s="202"/>
    </row>
    <row r="32" spans="1:38" x14ac:dyDescent="0.25">
      <c r="K32" s="97"/>
      <c r="L32" s="178"/>
    </row>
    <row r="33" spans="3:4" x14ac:dyDescent="0.25">
      <c r="C33" t="s">
        <v>184</v>
      </c>
    </row>
    <row r="34" spans="3:4" ht="15.75" x14ac:dyDescent="0.25">
      <c r="C34" s="29"/>
      <c r="D34" s="30" t="s">
        <v>115</v>
      </c>
    </row>
    <row r="35" spans="3:4" x14ac:dyDescent="0.25">
      <c r="C35" s="33" t="s">
        <v>185</v>
      </c>
      <c r="D35" s="34">
        <f>D16-(D9+D14)</f>
        <v>0</v>
      </c>
    </row>
    <row r="36" spans="3:4" x14ac:dyDescent="0.25">
      <c r="C36" s="33" t="s">
        <v>186</v>
      </c>
      <c r="D36" s="34">
        <f>SUM(D6,D7,D12,D13)</f>
        <v>0</v>
      </c>
    </row>
    <row r="37" spans="3:4" x14ac:dyDescent="0.25">
      <c r="C37" s="33" t="s">
        <v>187</v>
      </c>
      <c r="D37" s="34">
        <f>K6+K7+K12+K13</f>
        <v>0</v>
      </c>
    </row>
    <row r="38" spans="3:4" x14ac:dyDescent="0.25">
      <c r="C38" s="33" t="s">
        <v>188</v>
      </c>
      <c r="D38" s="34">
        <f>D7+D10</f>
        <v>0</v>
      </c>
    </row>
    <row r="39" spans="3:4" x14ac:dyDescent="0.25">
      <c r="C39" s="33" t="s">
        <v>189</v>
      </c>
      <c r="D39" s="34">
        <f>D6+D8+D11+D12</f>
        <v>0</v>
      </c>
    </row>
    <row r="40" spans="3:4" x14ac:dyDescent="0.25">
      <c r="C40" s="33" t="s">
        <v>102</v>
      </c>
      <c r="D40" s="34">
        <f>D37-D36</f>
        <v>0</v>
      </c>
    </row>
    <row r="41" spans="3:4" x14ac:dyDescent="0.25">
      <c r="C41" s="33" t="s">
        <v>190</v>
      </c>
      <c r="D41" s="36">
        <f ca="1">(D6+D7)*E24</f>
        <v>0</v>
      </c>
    </row>
    <row r="42" spans="3:4" x14ac:dyDescent="0.25">
      <c r="C42" s="33" t="s">
        <v>191</v>
      </c>
      <c r="D42" s="36">
        <f ca="1">(D12)*E27</f>
        <v>0</v>
      </c>
    </row>
  </sheetData>
  <mergeCells count="35">
    <mergeCell ref="C28:D28"/>
    <mergeCell ref="F28:H28"/>
    <mergeCell ref="C29:D29"/>
    <mergeCell ref="C31:D31"/>
    <mergeCell ref="C25:D25"/>
    <mergeCell ref="F25:H25"/>
    <mergeCell ref="K25:M25"/>
    <mergeCell ref="C26:D26"/>
    <mergeCell ref="F26:H26"/>
    <mergeCell ref="C27:D27"/>
    <mergeCell ref="F27:H27"/>
    <mergeCell ref="C23:H23"/>
    <mergeCell ref="Z23:AB23"/>
    <mergeCell ref="AC23:AE23"/>
    <mergeCell ref="C24:D24"/>
    <mergeCell ref="F24:H24"/>
    <mergeCell ref="J24:M24"/>
    <mergeCell ref="F19:G19"/>
    <mergeCell ref="F20:G20"/>
    <mergeCell ref="F21:G21"/>
    <mergeCell ref="C22:D22"/>
    <mergeCell ref="F22:G22"/>
    <mergeCell ref="J22:K22"/>
    <mergeCell ref="Y4:AG4"/>
    <mergeCell ref="AJ4:AL4"/>
    <mergeCell ref="Y16:AE16"/>
    <mergeCell ref="Z17:AE17"/>
    <mergeCell ref="P4:V4"/>
    <mergeCell ref="C18:H18"/>
    <mergeCell ref="J18:N18"/>
    <mergeCell ref="C1:H1"/>
    <mergeCell ref="E2:H2"/>
    <mergeCell ref="E3:H3"/>
    <mergeCell ref="D4:H4"/>
    <mergeCell ref="J4:N4"/>
  </mergeCells>
  <dataValidations count="1">
    <dataValidation type="decimal" allowBlank="1" showInputMessage="1" showErrorMessage="1" sqref="N24" xr:uid="{00000000-0002-0000-0200-000000000000}">
      <formula1>H19</formula1>
      <formula2>N19</formula2>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Events!$B$3:$B$9</xm:f>
          </x14:formula1>
          <xm:sqref>C4:C5 C34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A1:AS42"/>
  <sheetViews>
    <sheetView showGridLines="0" topLeftCell="O1" zoomScale="125" zoomScaleNormal="90" zoomScalePageLayoutView="90" workbookViewId="0">
      <pane ySplit="3" topLeftCell="A21" activePane="bottomLeft" state="frozen"/>
      <selection activeCell="AJ21" sqref="AJ21"/>
      <selection pane="bottomLeft" activeCell="V27" sqref="V27"/>
    </sheetView>
  </sheetViews>
  <sheetFormatPr defaultColWidth="8.85546875" defaultRowHeight="15" x14ac:dyDescent="0.25"/>
  <cols>
    <col min="1" max="2" width="2" bestFit="1" customWidth="1"/>
    <col min="3" max="3" width="36.28515625" bestFit="1" customWidth="1"/>
    <col min="4" max="4" width="10" bestFit="1" customWidth="1"/>
    <col min="5" max="5" width="8.7109375" customWidth="1"/>
    <col min="6" max="6" width="9" customWidth="1"/>
    <col min="7" max="7" width="11.28515625" bestFit="1" customWidth="1"/>
    <col min="8" max="8" width="9.42578125" bestFit="1" customWidth="1"/>
    <col min="9" max="9" width="4.7109375" customWidth="1"/>
    <col min="10" max="10" width="27.28515625" customWidth="1"/>
    <col min="11" max="11" width="11" customWidth="1"/>
    <col min="12" max="12" width="7.42578125" customWidth="1"/>
    <col min="13" max="13" width="14.85546875" customWidth="1"/>
    <col min="14" max="14" width="12" customWidth="1"/>
    <col min="15" max="15" width="4.42578125" customWidth="1"/>
    <col min="16" max="16" width="21.7109375" customWidth="1"/>
    <col min="17" max="21" width="7.42578125" customWidth="1"/>
    <col min="22" max="22" width="9.140625" customWidth="1"/>
    <col min="23" max="23" width="5.28515625" customWidth="1"/>
    <col min="24" max="24" width="3.42578125" bestFit="1" customWidth="1"/>
    <col min="25" max="25" width="27.42578125" bestFit="1" customWidth="1"/>
    <col min="26" max="33" width="7.42578125" customWidth="1"/>
    <col min="34" max="34" width="7" customWidth="1"/>
    <col min="35" max="35" width="39.140625" customWidth="1"/>
    <col min="36" max="38" width="12.42578125" customWidth="1"/>
    <col min="40" max="40" width="23" bestFit="1" customWidth="1"/>
  </cols>
  <sheetData>
    <row r="1" spans="1:45" s="2" customFormat="1" ht="19.5" customHeight="1" x14ac:dyDescent="0.25">
      <c r="A1" s="22">
        <v>2</v>
      </c>
      <c r="C1" s="381">
        <f>VLOOKUP(A1,LANDCOVER,2)</f>
        <v>0</v>
      </c>
      <c r="D1" s="381"/>
      <c r="E1" s="381"/>
      <c r="F1" s="381"/>
      <c r="G1" s="381"/>
      <c r="H1" s="381"/>
    </row>
    <row r="2" spans="1:45" s="24" customFormat="1" ht="15.75" x14ac:dyDescent="0.25">
      <c r="A2" s="23"/>
      <c r="C2" s="25" t="s">
        <v>106</v>
      </c>
      <c r="D2" s="26" t="s">
        <v>107</v>
      </c>
      <c r="E2" s="382" t="s">
        <v>108</v>
      </c>
      <c r="F2" s="382"/>
      <c r="G2" s="382"/>
      <c r="H2" s="382"/>
    </row>
    <row r="3" spans="1:45" s="28" customFormat="1" ht="15.75" customHeight="1" x14ac:dyDescent="0.25">
      <c r="A3" s="27"/>
      <c r="C3" s="49" t="str">
        <f ca="1">INDIRECT("Summary!I"&amp;(12+A1))</f>
        <v>1 yr / 24 hour      </v>
      </c>
      <c r="D3" s="172">
        <f ca="1">VLOOKUP($C$3,Events!$B$3:$D$9,2,FALSE)</f>
        <v>0</v>
      </c>
      <c r="E3" s="383">
        <f ca="1">VLOOKUP($C$3,Events!$B$3:$D$9,3,FALSE)</f>
        <v>0</v>
      </c>
      <c r="F3" s="383"/>
      <c r="G3" s="383"/>
      <c r="H3" s="383"/>
      <c r="J3" s="24"/>
      <c r="K3" s="24"/>
      <c r="L3" s="24"/>
      <c r="M3" s="24"/>
      <c r="N3" s="24"/>
      <c r="Y3" s="24"/>
      <c r="Z3" s="24"/>
      <c r="AA3" s="24"/>
      <c r="AB3" s="24"/>
      <c r="AC3" s="24"/>
      <c r="AD3" s="24"/>
      <c r="AE3" s="24"/>
      <c r="AF3" s="24"/>
      <c r="AG3" s="24"/>
      <c r="AI3" s="24"/>
      <c r="AJ3" s="24"/>
      <c r="AK3" s="24"/>
      <c r="AL3" s="24"/>
    </row>
    <row r="4" spans="1:45" s="24" customFormat="1" ht="15" customHeight="1" x14ac:dyDescent="0.25">
      <c r="A4" s="23"/>
      <c r="C4" s="257"/>
      <c r="D4" s="384" t="s">
        <v>109</v>
      </c>
      <c r="E4" s="384"/>
      <c r="F4" s="384"/>
      <c r="G4" s="384"/>
      <c r="H4" s="384"/>
      <c r="J4" s="385" t="s">
        <v>110</v>
      </c>
      <c r="K4" s="385"/>
      <c r="L4" s="385"/>
      <c r="M4" s="385"/>
      <c r="N4" s="385"/>
      <c r="P4" s="395" t="s">
        <v>111</v>
      </c>
      <c r="Q4" s="395"/>
      <c r="R4" s="395"/>
      <c r="S4" s="395"/>
      <c r="T4" s="395"/>
      <c r="U4" s="395"/>
      <c r="V4" s="395"/>
      <c r="Y4" s="387" t="s">
        <v>112</v>
      </c>
      <c r="Z4" s="388"/>
      <c r="AA4" s="388"/>
      <c r="AB4" s="388"/>
      <c r="AC4" s="388"/>
      <c r="AD4" s="388"/>
      <c r="AE4" s="388"/>
      <c r="AF4" s="388"/>
      <c r="AG4" s="389"/>
      <c r="AI4" s="284" t="s">
        <v>113</v>
      </c>
      <c r="AJ4" s="390" t="s">
        <v>114</v>
      </c>
      <c r="AK4" s="391"/>
      <c r="AL4" s="392"/>
    </row>
    <row r="5" spans="1:45" s="24" customFormat="1" ht="27.95" customHeight="1" x14ac:dyDescent="0.25">
      <c r="A5" s="23"/>
      <c r="C5" s="258"/>
      <c r="D5" s="334" t="s">
        <v>115</v>
      </c>
      <c r="E5" s="334" t="s">
        <v>84</v>
      </c>
      <c r="F5" s="259" t="s">
        <v>116</v>
      </c>
      <c r="G5" s="259" t="s">
        <v>117</v>
      </c>
      <c r="H5" s="259" t="s">
        <v>118</v>
      </c>
      <c r="J5" s="174"/>
      <c r="K5" s="192" t="s">
        <v>115</v>
      </c>
      <c r="L5" s="192" t="s">
        <v>84</v>
      </c>
      <c r="M5" s="268" t="s">
        <v>119</v>
      </c>
      <c r="N5" s="226" t="s">
        <v>120</v>
      </c>
      <c r="P5" s="174"/>
      <c r="Q5" s="332" t="s">
        <v>103</v>
      </c>
      <c r="R5" s="332" t="s">
        <v>121</v>
      </c>
      <c r="S5" s="332" t="s">
        <v>104</v>
      </c>
      <c r="T5" s="332" t="s">
        <v>122</v>
      </c>
      <c r="U5" s="332" t="s">
        <v>123</v>
      </c>
      <c r="V5" s="192" t="s">
        <v>115</v>
      </c>
      <c r="Y5" s="230" t="s">
        <v>124</v>
      </c>
      <c r="Z5" s="215" t="s">
        <v>125</v>
      </c>
      <c r="AA5" s="254" t="s">
        <v>126</v>
      </c>
      <c r="AB5" s="234" t="s">
        <v>127</v>
      </c>
      <c r="AC5" s="254" t="s">
        <v>128</v>
      </c>
      <c r="AD5" s="272" t="s">
        <v>125</v>
      </c>
      <c r="AE5" s="272" t="s">
        <v>126</v>
      </c>
      <c r="AF5" s="272" t="s">
        <v>127</v>
      </c>
      <c r="AG5" s="272" t="s">
        <v>128</v>
      </c>
      <c r="AH5" s="31"/>
      <c r="AI5" s="285" t="s">
        <v>129</v>
      </c>
      <c r="AJ5" s="286" t="s">
        <v>130</v>
      </c>
      <c r="AK5" s="287" t="s">
        <v>131</v>
      </c>
      <c r="AL5" s="288" t="s">
        <v>132</v>
      </c>
    </row>
    <row r="6" spans="1:45" s="24" customFormat="1" x14ac:dyDescent="0.25">
      <c r="A6" s="32"/>
      <c r="C6" s="255" t="s">
        <v>133</v>
      </c>
      <c r="D6" s="34">
        <f>VLOOKUP($A$1,LANDCOVER,3)</f>
        <v>0</v>
      </c>
      <c r="E6" s="35" t="e">
        <f t="shared" ref="E6:E15" si="0">D6/$D$16</f>
        <v>#DIV/0!</v>
      </c>
      <c r="F6" s="247">
        <f ca="1">IF($D$3&lt;0.05*AA6,0,($D$3-AB6)^2/($D$3-AB6+AA6))</f>
        <v>0</v>
      </c>
      <c r="G6" s="256">
        <f ca="1">D6*F6*43560/12/1000</f>
        <v>0</v>
      </c>
      <c r="H6" s="266">
        <f ca="1">IFERROR(($AG6/$AC6-1)*G6,0)</f>
        <v>0</v>
      </c>
      <c r="J6" s="173" t="s">
        <v>133</v>
      </c>
      <c r="K6" s="34">
        <f>VLOOKUP($A$1,LANDCOVERPOT,3)</f>
        <v>0</v>
      </c>
      <c r="L6" s="175" t="e">
        <f t="shared" ref="L6:L15" si="1">K6/$K$16</f>
        <v>#DIV/0!</v>
      </c>
      <c r="M6" s="269">
        <f ca="1">K6*$F6*43560/12/1000</f>
        <v>0</v>
      </c>
      <c r="N6" s="250"/>
      <c r="P6" s="173" t="s">
        <v>133</v>
      </c>
      <c r="Q6" s="244">
        <f ca="1">D6*INDIRECT("Summary!j"&amp;(12+A1))</f>
        <v>0</v>
      </c>
      <c r="R6" s="244">
        <f ca="1">(K6-D6)*INDIRECT("Summary!p"&amp;(12+A1))</f>
        <v>0</v>
      </c>
      <c r="S6" s="244"/>
      <c r="T6" s="244"/>
      <c r="U6" s="244"/>
      <c r="V6" s="315">
        <f ca="1">D6-Q6+R6+U6</f>
        <v>0</v>
      </c>
      <c r="X6" s="38">
        <v>1</v>
      </c>
      <c r="Y6" s="231" t="str">
        <f t="shared" ref="Y6:Y15" si="2">C6</f>
        <v>Tree Canopy</v>
      </c>
      <c r="Z6" s="232">
        <f>IF(D6&lt;=0,TheModel!I28,VLOOKUP($A$1,CompositeCN,$X6+1))</f>
        <v>59</v>
      </c>
      <c r="AA6" s="233">
        <f>IFERROR(1000/Z6-10,0)</f>
        <v>6.9491525423728824</v>
      </c>
      <c r="AB6" s="235">
        <f>0.2*AA6+ModelCi</f>
        <v>1.4398305084745766</v>
      </c>
      <c r="AC6" s="253">
        <f ca="1">IF($D$3&lt;0.05*AA6,0,($D$3-AB6)^2/($D$3-AB6+AA6))</f>
        <v>0</v>
      </c>
      <c r="AD6" s="252" t="e">
        <f ca="1">INDIRECT("LC_HSG_Data!CS"&amp;(5+A1))</f>
        <v>#DIV/0!</v>
      </c>
      <c r="AE6" s="252">
        <f ca="1">IFERROR(1000/AD6-10,0)</f>
        <v>0</v>
      </c>
      <c r="AF6" s="252">
        <f t="shared" ref="AF6" ca="1" si="3">0.2*AE6</f>
        <v>0</v>
      </c>
      <c r="AG6" s="252" t="e">
        <f ca="1">IF($D$3&lt;0.05*AE6,0,($D$3-AF6)^2/($D$3-AF6+AE6))</f>
        <v>#DIV/0!</v>
      </c>
      <c r="AH6" s="39"/>
      <c r="AI6" s="255" t="s">
        <v>133</v>
      </c>
      <c r="AJ6" s="289">
        <f t="array" ref="AJ6:AL15">D6:D15*loads</f>
        <v>0</v>
      </c>
      <c r="AK6" s="289">
        <v>0</v>
      </c>
      <c r="AL6" s="289">
        <v>0</v>
      </c>
      <c r="AN6" s="221"/>
      <c r="AO6" s="221"/>
      <c r="AP6" s="221"/>
      <c r="AQ6" s="221"/>
      <c r="AR6" s="221"/>
      <c r="AS6" s="221"/>
    </row>
    <row r="7" spans="1:45" s="24" customFormat="1" x14ac:dyDescent="0.25">
      <c r="A7" s="32"/>
      <c r="C7" s="255" t="s">
        <v>134</v>
      </c>
      <c r="D7" s="34">
        <f>VLOOKUP($A$1,LANDCOVER,4)</f>
        <v>0</v>
      </c>
      <c r="E7" s="35" t="e">
        <f t="shared" si="0"/>
        <v>#DIV/0!</v>
      </c>
      <c r="F7" s="247">
        <f ca="1">IF($D$3&lt;0.05*AA7,0,($D$3-AB7)^2/($D$3-AB7+AA7))</f>
        <v>0</v>
      </c>
      <c r="G7" s="256">
        <f ca="1">D7*F7*43560/12/1000</f>
        <v>0</v>
      </c>
      <c r="H7" s="266">
        <f ca="1">IFERROR(($AC10/$AC7-1)*G7,0)</f>
        <v>0</v>
      </c>
      <c r="J7" s="33" t="s">
        <v>134</v>
      </c>
      <c r="K7" s="34">
        <f>VLOOKUP($A$1,LANDCOVERPOT,4)</f>
        <v>0</v>
      </c>
      <c r="L7" s="37" t="e">
        <f t="shared" si="1"/>
        <v>#DIV/0!</v>
      </c>
      <c r="M7" s="270">
        <f t="shared" ref="M7:M15" ca="1" si="4">K7*$F7*43560/12/1000</f>
        <v>0</v>
      </c>
      <c r="N7" s="250"/>
      <c r="P7" s="33" t="s">
        <v>134</v>
      </c>
      <c r="Q7" s="245">
        <f ca="1">D7*INDIRECT("Summary!j"&amp;(12+A1))</f>
        <v>0</v>
      </c>
      <c r="R7" s="245">
        <f ca="1">(K7-D7)*INDIRECT("Summary!p"&amp;(12+A1))</f>
        <v>0</v>
      </c>
      <c r="S7" s="245"/>
      <c r="T7" s="245"/>
      <c r="U7" s="245"/>
      <c r="V7" s="315">
        <f ca="1">D7-Q7+R7</f>
        <v>0</v>
      </c>
      <c r="X7" s="38">
        <v>2</v>
      </c>
      <c r="Y7" s="231" t="str">
        <f t="shared" si="2"/>
        <v>Tree Canopy over Impervious</v>
      </c>
      <c r="Z7" s="232">
        <f>IF(D7&lt;=0,TheModel!I29,VLOOKUP($A$1,CompositeCN,$X7+1))</f>
        <v>96</v>
      </c>
      <c r="AA7" s="233">
        <f t="shared" ref="AA7:AA15" si="5">IFERROR(1000/Z7-10,0)</f>
        <v>0.41666666666666607</v>
      </c>
      <c r="AB7" s="235">
        <f>0.2*AA7+ModelCi</f>
        <v>0.13333333333333322</v>
      </c>
      <c r="AC7" s="253">
        <f t="shared" ref="AC7:AC14" ca="1" si="6">IF($D$3&lt;0.05*AA7,0,($D$3-AB7)^2/($D$3-AB7+AA7))</f>
        <v>0</v>
      </c>
      <c r="AD7" s="252"/>
      <c r="AE7" s="252"/>
      <c r="AF7" s="252"/>
      <c r="AG7" s="252"/>
      <c r="AH7" s="39"/>
      <c r="AI7" s="255" t="s">
        <v>134</v>
      </c>
      <c r="AJ7" s="289">
        <v>0</v>
      </c>
      <c r="AK7" s="289">
        <v>0</v>
      </c>
      <c r="AL7" s="289">
        <v>0</v>
      </c>
      <c r="AN7" s="221"/>
      <c r="AO7" s="221"/>
      <c r="AP7" s="221"/>
      <c r="AQ7" s="221"/>
      <c r="AR7" s="221"/>
      <c r="AS7" s="221"/>
    </row>
    <row r="8" spans="1:45" s="24" customFormat="1" x14ac:dyDescent="0.2">
      <c r="A8" s="32"/>
      <c r="C8" s="255" t="s">
        <v>135</v>
      </c>
      <c r="D8" s="34">
        <f>VLOOKUP($A$1,LANDCOVER,5)</f>
        <v>0</v>
      </c>
      <c r="E8" s="35" t="e">
        <f t="shared" si="0"/>
        <v>#DIV/0!</v>
      </c>
      <c r="F8" s="247">
        <f t="shared" ref="F8:F12" ca="1" si="7">IF($D$3&lt;0.05*AA8,0,($D$3-AB8)^2/($D$3-AB8+AA8))</f>
        <v>0</v>
      </c>
      <c r="G8" s="256">
        <f t="shared" ref="G8:G12" ca="1" si="8">D8*F8*43560/12/1000</f>
        <v>0</v>
      </c>
      <c r="H8" s="248"/>
      <c r="J8" s="33" t="s">
        <v>135</v>
      </c>
      <c r="K8" s="34">
        <f>VLOOKUP($A$1,LANDCOVERPOT,5)</f>
        <v>0</v>
      </c>
      <c r="L8" s="37" t="e">
        <f t="shared" si="1"/>
        <v>#DIV/0!</v>
      </c>
      <c r="M8" s="270">
        <f t="shared" ca="1" si="4"/>
        <v>0</v>
      </c>
      <c r="N8" s="266" t="e">
        <f ca="1">(Q8*(AC8-AG8)+S8*(AC8-AG9))*43560/12/1000</f>
        <v>#DIV/0!</v>
      </c>
      <c r="P8" s="33" t="s">
        <v>135</v>
      </c>
      <c r="Q8" s="245">
        <f ca="1">R6</f>
        <v>0</v>
      </c>
      <c r="R8" s="245">
        <f ca="1">Q6*(1-Summary!L14)</f>
        <v>0</v>
      </c>
      <c r="S8" s="245">
        <f ca="1">T12</f>
        <v>0</v>
      </c>
      <c r="T8" s="245">
        <f ca="1">SUM(S12,S13)*(1-INDIRECT("Summary!l"&amp;(12+A1)))</f>
        <v>0</v>
      </c>
      <c r="U8" s="244"/>
      <c r="V8" s="315">
        <f ca="1">D8-Q8+R8-S8+T8+U8</f>
        <v>0</v>
      </c>
      <c r="X8" s="38">
        <v>3</v>
      </c>
      <c r="Y8" s="231" t="str">
        <f t="shared" si="2"/>
        <v>Pervious</v>
      </c>
      <c r="Z8" s="232">
        <f>IF(D8&lt;=0,Z6-CNadj,VLOOKUP($A$1,CompositeCN,$X8+1))</f>
        <v>61</v>
      </c>
      <c r="AA8" s="233">
        <f t="shared" si="5"/>
        <v>6.3934426229508183</v>
      </c>
      <c r="AB8" s="235">
        <f t="shared" ref="AB8:AB15" si="9">0.2*AA8</f>
        <v>1.2786885245901638</v>
      </c>
      <c r="AC8" s="253">
        <f t="shared" ca="1" si="6"/>
        <v>0</v>
      </c>
      <c r="AD8" s="252" t="e">
        <f ca="1">INDIRECT("LC_HSG_Data!CU"&amp;(5+A1))</f>
        <v>#DIV/0!</v>
      </c>
      <c r="AE8" s="252">
        <f ca="1">IFERROR(1000/AD8-10,0)</f>
        <v>0</v>
      </c>
      <c r="AF8" s="252">
        <f t="shared" ref="AF8:AF9" ca="1" si="10">0.2*AE8</f>
        <v>0</v>
      </c>
      <c r="AG8" s="252" t="e">
        <f ca="1">IF($D$3&lt;0.05*AE8,0,($D$3-AF8)^2/($D$3-AF8+AE8))</f>
        <v>#DIV/0!</v>
      </c>
      <c r="AH8" s="39"/>
      <c r="AI8" s="255" t="s">
        <v>135</v>
      </c>
      <c r="AJ8" s="290">
        <v>0</v>
      </c>
      <c r="AK8" s="290">
        <v>0</v>
      </c>
      <c r="AL8" s="290">
        <v>0</v>
      </c>
      <c r="AN8" s="221"/>
      <c r="AO8" s="221"/>
      <c r="AP8" s="221"/>
      <c r="AQ8" s="221"/>
      <c r="AR8" s="221"/>
      <c r="AS8" s="221"/>
    </row>
    <row r="9" spans="1:45" s="24" customFormat="1" x14ac:dyDescent="0.2">
      <c r="A9" s="32"/>
      <c r="C9" s="255" t="s">
        <v>136</v>
      </c>
      <c r="D9" s="34">
        <f>VLOOKUP($A$1,LANDCOVER,6)</f>
        <v>0</v>
      </c>
      <c r="E9" s="35" t="e">
        <f t="shared" si="0"/>
        <v>#DIV/0!</v>
      </c>
      <c r="F9" s="247" t="e">
        <f t="shared" ca="1" si="7"/>
        <v>#DIV/0!</v>
      </c>
      <c r="G9" s="256" t="e">
        <f t="shared" ca="1" si="8"/>
        <v>#DIV/0!</v>
      </c>
      <c r="H9" s="249"/>
      <c r="J9" s="33" t="s">
        <v>136</v>
      </c>
      <c r="K9" s="34">
        <f>VLOOKUP($A$1,LANDCOVERPOT,6)</f>
        <v>0</v>
      </c>
      <c r="L9" s="37" t="e">
        <f t="shared" si="1"/>
        <v>#DIV/0!</v>
      </c>
      <c r="M9" s="270" t="e">
        <f t="shared" ca="1" si="4"/>
        <v>#DIV/0!</v>
      </c>
      <c r="N9" s="249"/>
      <c r="P9" s="33" t="s">
        <v>136</v>
      </c>
      <c r="Q9" s="245"/>
      <c r="R9" s="245"/>
      <c r="S9" s="245"/>
      <c r="T9" s="245"/>
      <c r="U9" s="245"/>
      <c r="V9" s="315">
        <f>D9</f>
        <v>0</v>
      </c>
      <c r="X9" s="38">
        <v>4</v>
      </c>
      <c r="Y9" s="231" t="str">
        <f t="shared" si="2"/>
        <v>Water</v>
      </c>
      <c r="Z9" s="232">
        <f>IF(D9&lt;=0,TheModel!I31,VLOOKUP($A$1,CompositeCN,$X9+1))</f>
        <v>100</v>
      </c>
      <c r="AA9" s="233">
        <f t="shared" si="5"/>
        <v>0</v>
      </c>
      <c r="AB9" s="235">
        <f t="shared" si="9"/>
        <v>0</v>
      </c>
      <c r="AC9" s="253" t="e">
        <f t="shared" ca="1" si="6"/>
        <v>#DIV/0!</v>
      </c>
      <c r="AD9" s="252" t="e">
        <f ca="1">INDIRECT("LC_HSG_Data!CV"&amp;(5+A1))</f>
        <v>#DIV/0!</v>
      </c>
      <c r="AE9" s="252">
        <f ca="1">IFERROR(1000/AD9-10,0)</f>
        <v>0</v>
      </c>
      <c r="AF9" s="252">
        <f t="shared" ca="1" si="10"/>
        <v>0</v>
      </c>
      <c r="AG9" s="252" t="e">
        <f ca="1">IF($D$3&lt;0.05*AE9,0,($D$3-AF9)^2/($D$3-AF9+AE9))</f>
        <v>#DIV/0!</v>
      </c>
      <c r="AH9" s="39"/>
      <c r="AI9" s="255" t="s">
        <v>136</v>
      </c>
      <c r="AJ9" s="290">
        <v>0</v>
      </c>
      <c r="AK9" s="290">
        <v>0</v>
      </c>
      <c r="AL9" s="290">
        <v>0</v>
      </c>
      <c r="AN9" s="221"/>
      <c r="AO9" s="221"/>
      <c r="AP9" s="221"/>
      <c r="AQ9" s="221"/>
      <c r="AR9" s="221"/>
      <c r="AS9" s="221"/>
    </row>
    <row r="10" spans="1:45" s="24" customFormat="1" x14ac:dyDescent="0.2">
      <c r="A10" s="32"/>
      <c r="C10" s="255" t="s">
        <v>137</v>
      </c>
      <c r="D10" s="34">
        <f>VLOOKUP($A$1,LANDCOVER,7)</f>
        <v>0</v>
      </c>
      <c r="E10" s="35" t="e">
        <f t="shared" si="0"/>
        <v>#DIV/0!</v>
      </c>
      <c r="F10" s="247">
        <f t="shared" ca="1" si="7"/>
        <v>0</v>
      </c>
      <c r="G10" s="256">
        <f t="shared" ca="1" si="8"/>
        <v>0</v>
      </c>
      <c r="H10" s="249"/>
      <c r="J10" s="33" t="s">
        <v>137</v>
      </c>
      <c r="K10" s="34">
        <f>VLOOKUP($A$1,LANDCOVERPOT,7)</f>
        <v>0</v>
      </c>
      <c r="L10" s="37" t="e">
        <f t="shared" si="1"/>
        <v>#DIV/0!</v>
      </c>
      <c r="M10" s="270">
        <f t="shared" ca="1" si="4"/>
        <v>0</v>
      </c>
      <c r="N10" s="266">
        <f ca="1">Q10*(AC10-AC7)*43560/12/1000</f>
        <v>0</v>
      </c>
      <c r="P10" s="33" t="s">
        <v>137</v>
      </c>
      <c r="Q10" s="245">
        <f ca="1">R7</f>
        <v>0</v>
      </c>
      <c r="R10" s="245">
        <f ca="1">Q6*(Summary!L14)</f>
        <v>0</v>
      </c>
      <c r="S10" s="245"/>
      <c r="T10" s="245">
        <f ca="1">SUM(S12,S13)*INDIRECT("Summary!l"&amp;(12+A1))</f>
        <v>0</v>
      </c>
      <c r="U10" s="245"/>
      <c r="V10" s="315">
        <f ca="1">D10-Q10+R10+T10+U10</f>
        <v>0</v>
      </c>
      <c r="X10" s="38">
        <v>5</v>
      </c>
      <c r="Y10" s="231" t="str">
        <f t="shared" si="2"/>
        <v>Impervious</v>
      </c>
      <c r="Z10" s="232">
        <f>IF(D10&lt;=0,Z7-CNadj,VLOOKUP($A$1,CompositeCN,$X10+1))</f>
        <v>98</v>
      </c>
      <c r="AA10" s="233">
        <f t="shared" si="5"/>
        <v>0.20408163265306101</v>
      </c>
      <c r="AB10" s="235">
        <f t="shared" si="9"/>
        <v>4.0816326530612207E-2</v>
      </c>
      <c r="AC10" s="253">
        <f t="shared" ca="1" si="6"/>
        <v>0</v>
      </c>
      <c r="AD10" s="253"/>
      <c r="AE10" s="253"/>
      <c r="AF10" s="253"/>
      <c r="AG10" s="253"/>
      <c r="AH10" s="39"/>
      <c r="AI10" s="255" t="s">
        <v>137</v>
      </c>
      <c r="AJ10" s="290">
        <v>0</v>
      </c>
      <c r="AK10" s="290">
        <v>0</v>
      </c>
      <c r="AL10" s="290">
        <v>0</v>
      </c>
      <c r="AN10" s="221"/>
      <c r="AO10" s="221"/>
      <c r="AP10" s="221"/>
      <c r="AQ10" s="221"/>
      <c r="AR10" s="221"/>
      <c r="AS10" s="221"/>
    </row>
    <row r="11" spans="1:45" s="24" customFormat="1" x14ac:dyDescent="0.2">
      <c r="A11" s="32"/>
      <c r="C11" s="255" t="s">
        <v>138</v>
      </c>
      <c r="D11" s="34">
        <f>VLOOKUP($A$1,LANDCOVER,8)</f>
        <v>0</v>
      </c>
      <c r="E11" s="35" t="e">
        <f t="shared" si="0"/>
        <v>#DIV/0!</v>
      </c>
      <c r="F11" s="247">
        <f t="shared" ca="1" si="7"/>
        <v>0</v>
      </c>
      <c r="G11" s="256">
        <f t="shared" ca="1" si="8"/>
        <v>0</v>
      </c>
      <c r="H11" s="249"/>
      <c r="J11" s="33" t="s">
        <v>138</v>
      </c>
      <c r="K11" s="34">
        <f>VLOOKUP($A$1,LANDCOVERPOT,8)</f>
        <v>0</v>
      </c>
      <c r="L11" s="37" t="e">
        <f t="shared" si="1"/>
        <v>#DIV/0!</v>
      </c>
      <c r="M11" s="270">
        <f t="shared" ca="1" si="4"/>
        <v>0</v>
      </c>
      <c r="N11" s="249"/>
      <c r="P11" s="33" t="s">
        <v>138</v>
      </c>
      <c r="Q11" s="245"/>
      <c r="R11" s="245"/>
      <c r="S11" s="245"/>
      <c r="T11" s="245"/>
      <c r="U11" s="245"/>
      <c r="V11" s="315">
        <f>D11</f>
        <v>0</v>
      </c>
      <c r="X11" s="38">
        <v>6</v>
      </c>
      <c r="Y11" s="231" t="str">
        <f t="shared" si="2"/>
        <v>Bare Earth</v>
      </c>
      <c r="Z11" s="232">
        <f>IF(D11&lt;=0,TheModel!I33,VLOOKUP($A$1,CompositeCN,$X11+1))</f>
        <v>86</v>
      </c>
      <c r="AA11" s="233">
        <f t="shared" si="5"/>
        <v>1.6279069767441854</v>
      </c>
      <c r="AB11" s="235">
        <f t="shared" si="9"/>
        <v>0.32558139534883712</v>
      </c>
      <c r="AC11" s="253">
        <f t="shared" ca="1" si="6"/>
        <v>0</v>
      </c>
      <c r="AD11" s="253"/>
      <c r="AE11" s="253"/>
      <c r="AF11" s="253"/>
      <c r="AG11" s="253"/>
      <c r="AH11" s="39"/>
      <c r="AI11" s="255" t="s">
        <v>138</v>
      </c>
      <c r="AJ11" s="290">
        <v>0</v>
      </c>
      <c r="AK11" s="290">
        <v>0</v>
      </c>
      <c r="AL11" s="290">
        <v>0</v>
      </c>
      <c r="AN11" s="221"/>
      <c r="AO11" s="221"/>
      <c r="AP11" s="221"/>
      <c r="AQ11" s="221"/>
      <c r="AR11" s="221"/>
      <c r="AS11" s="221"/>
    </row>
    <row r="12" spans="1:45" s="24" customFormat="1" x14ac:dyDescent="0.2">
      <c r="A12" s="32"/>
      <c r="C12" s="255" t="s">
        <v>139</v>
      </c>
      <c r="D12" s="34">
        <f>VLOOKUP($A$1,LANDCOVER,9)</f>
        <v>0</v>
      </c>
      <c r="E12" s="35" t="e">
        <f t="shared" si="0"/>
        <v>#DIV/0!</v>
      </c>
      <c r="F12" s="247">
        <f t="shared" ca="1" si="7"/>
        <v>0</v>
      </c>
      <c r="G12" s="256">
        <f t="shared" ca="1" si="8"/>
        <v>0</v>
      </c>
      <c r="H12" s="266">
        <f ca="1">IFERROR(($AG12/$AC12-1)*G12,0)</f>
        <v>0</v>
      </c>
      <c r="J12" s="33" t="s">
        <v>139</v>
      </c>
      <c r="K12" s="34">
        <f>VLOOKUP($A$1,LANDCOVERPOT,9)</f>
        <v>0</v>
      </c>
      <c r="L12" s="37" t="e">
        <f t="shared" si="1"/>
        <v>#DIV/0!</v>
      </c>
      <c r="M12" s="270">
        <f t="shared" ca="1" si="4"/>
        <v>0</v>
      </c>
      <c r="N12" s="250"/>
      <c r="P12" s="33" t="s">
        <v>139</v>
      </c>
      <c r="Q12" s="245"/>
      <c r="R12" s="245"/>
      <c r="S12" s="245">
        <f ca="1">D12*INDIRECT("Summary!k"&amp;(12+A1))</f>
        <v>0</v>
      </c>
      <c r="T12" s="245">
        <f ca="1">(K12-D12)*INDIRECT("Summary!p"&amp;(12+A1))</f>
        <v>0</v>
      </c>
      <c r="U12" s="245"/>
      <c r="V12" s="315">
        <f ca="1">D12-S12+T12</f>
        <v>0</v>
      </c>
      <c r="X12" s="38">
        <v>7</v>
      </c>
      <c r="Y12" s="231" t="str">
        <f t="shared" si="2"/>
        <v>Forested Open Space</v>
      </c>
      <c r="Z12" s="232">
        <f>IF(D12&lt;=0,TheModel!I34,VLOOKUP($A$1,CompositeCN,$X12+1))</f>
        <v>55</v>
      </c>
      <c r="AA12" s="233">
        <f t="shared" si="5"/>
        <v>8.1818181818181834</v>
      </c>
      <c r="AB12" s="235">
        <f t="shared" si="9"/>
        <v>1.6363636363636367</v>
      </c>
      <c r="AC12" s="253">
        <f t="shared" ca="1" si="6"/>
        <v>0</v>
      </c>
      <c r="AD12" s="252" t="e">
        <f ca="1">INDIRECT("LC_HSG_Data!CT"&amp;(5+A1))</f>
        <v>#DIV/0!</v>
      </c>
      <c r="AE12" s="252">
        <f ca="1">IFERROR(1000/AD12-10,0)</f>
        <v>0</v>
      </c>
      <c r="AF12" s="252">
        <f t="shared" ref="AF12:AF14" ca="1" si="11">0.2*AE12</f>
        <v>0</v>
      </c>
      <c r="AG12" s="252" t="e">
        <f ca="1">IF($D$3&lt;0.05*AE12,0,($D$3-AF12)^2/($D$3-AF12+AE12))</f>
        <v>#DIV/0!</v>
      </c>
      <c r="AH12" s="39"/>
      <c r="AI12" s="255" t="s">
        <v>139</v>
      </c>
      <c r="AJ12" s="291">
        <v>0</v>
      </c>
      <c r="AK12" s="291">
        <v>0</v>
      </c>
      <c r="AL12" s="291">
        <v>0</v>
      </c>
      <c r="AN12" s="221"/>
      <c r="AO12" s="221"/>
      <c r="AP12" s="221"/>
      <c r="AQ12" s="221"/>
      <c r="AR12" s="221"/>
      <c r="AS12" s="221"/>
    </row>
    <row r="13" spans="1:45" s="24" customFormat="1" x14ac:dyDescent="0.2">
      <c r="A13" s="32"/>
      <c r="C13" s="255" t="s">
        <v>140</v>
      </c>
      <c r="D13" s="34">
        <f>VLOOKUP($A$1,LANDCOVER,10)</f>
        <v>0</v>
      </c>
      <c r="E13" s="35" t="e">
        <f t="shared" si="0"/>
        <v>#DIV/0!</v>
      </c>
      <c r="F13" s="247">
        <f ca="1">IF($D$3&lt;0.05*AA13,0,($D$3-AB13)^2/($D$3-AB13+AA13))</f>
        <v>0</v>
      </c>
      <c r="G13" s="256">
        <f ca="1">D13*F13*43560/12/1000</f>
        <v>0</v>
      </c>
      <c r="H13" s="266">
        <f ca="1">IFERROR(($AG13/$AC13-1)*G13,0)</f>
        <v>0</v>
      </c>
      <c r="J13" s="33" t="s">
        <v>140</v>
      </c>
      <c r="K13" s="34">
        <f>VLOOKUP($A$1,LANDCOVERPOT,10)</f>
        <v>0</v>
      </c>
      <c r="L13" s="37" t="e">
        <f t="shared" si="1"/>
        <v>#DIV/0!</v>
      </c>
      <c r="M13" s="270">
        <f t="shared" ca="1" si="4"/>
        <v>0</v>
      </c>
      <c r="N13" s="250"/>
      <c r="P13" s="33" t="s">
        <v>140</v>
      </c>
      <c r="Q13" s="245"/>
      <c r="R13" s="245"/>
      <c r="S13" s="245">
        <f ca="1">D13*INDIRECT("Summary!k"&amp;(12+A1))</f>
        <v>0</v>
      </c>
      <c r="T13" s="245"/>
      <c r="U13" s="245"/>
      <c r="V13" s="315">
        <f ca="1">D13-S13</f>
        <v>0</v>
      </c>
      <c r="X13" s="38">
        <v>8</v>
      </c>
      <c r="Y13" s="231" t="str">
        <f t="shared" si="2"/>
        <v>Forested Wetlands</v>
      </c>
      <c r="Z13" s="232">
        <f>IF(D13&lt;=0,TheModel!I35,VLOOKUP($A$1,CompositeCN,$X13+1))</f>
        <v>77</v>
      </c>
      <c r="AA13" s="233">
        <f t="shared" si="5"/>
        <v>2.9870129870129869</v>
      </c>
      <c r="AB13" s="235">
        <f t="shared" si="9"/>
        <v>0.59740259740259738</v>
      </c>
      <c r="AC13" s="253">
        <f ca="1">IF($D$3&lt;0.05*AA13,0,($D$3-AB13)^2/($D$3-AB13+AA13))</f>
        <v>0</v>
      </c>
      <c r="AD13" s="252">
        <f>Z14</f>
        <v>100</v>
      </c>
      <c r="AE13" s="252">
        <f>IFERROR(1000/AD13-10,0)</f>
        <v>0</v>
      </c>
      <c r="AF13" s="252">
        <f t="shared" si="11"/>
        <v>0</v>
      </c>
      <c r="AG13" s="252" t="e">
        <f ca="1">IF($D$3&lt;0.05*AE13,0,($D$3-AF13)^2/($D$3-AF13+AE13))</f>
        <v>#DIV/0!</v>
      </c>
      <c r="AH13" s="39"/>
      <c r="AI13" s="255" t="s">
        <v>140</v>
      </c>
      <c r="AJ13" s="291">
        <v>0</v>
      </c>
      <c r="AK13" s="291">
        <v>0</v>
      </c>
      <c r="AL13" s="291">
        <v>0</v>
      </c>
      <c r="AN13" s="221"/>
      <c r="AO13" s="221"/>
      <c r="AP13" s="221"/>
      <c r="AQ13" s="221"/>
      <c r="AR13" s="221"/>
      <c r="AS13" s="221"/>
    </row>
    <row r="14" spans="1:45" s="24" customFormat="1" x14ac:dyDescent="0.2">
      <c r="A14" s="32"/>
      <c r="C14" s="255" t="s">
        <v>141</v>
      </c>
      <c r="D14" s="34">
        <f>VLOOKUP($A$1,LANDCOVER,11)</f>
        <v>0</v>
      </c>
      <c r="E14" s="35" t="e">
        <f t="shared" si="0"/>
        <v>#DIV/0!</v>
      </c>
      <c r="F14" s="247" t="e">
        <f ca="1">IF($D$3&lt;0.05*AA14,0,($D$3-AB14)^2/($D$3-AB14+AA14))</f>
        <v>#DIV/0!</v>
      </c>
      <c r="G14" s="256" t="e">
        <f t="shared" ref="G14" ca="1" si="12">D14*$F14*43560/12/1000</f>
        <v>#DIV/0!</v>
      </c>
      <c r="H14" s="250"/>
      <c r="J14" s="33" t="s">
        <v>141</v>
      </c>
      <c r="K14" s="34">
        <f>VLOOKUP($A$1,LANDCOVERPOT,11)</f>
        <v>0</v>
      </c>
      <c r="L14" s="37" t="e">
        <f t="shared" si="1"/>
        <v>#DIV/0!</v>
      </c>
      <c r="M14" s="270" t="e">
        <f t="shared" ca="1" si="4"/>
        <v>#DIV/0!</v>
      </c>
      <c r="N14" s="250"/>
      <c r="P14" s="33" t="s">
        <v>141</v>
      </c>
      <c r="Q14" s="245"/>
      <c r="R14" s="245"/>
      <c r="S14" s="245"/>
      <c r="T14" s="245"/>
      <c r="U14" s="245"/>
      <c r="V14" s="315">
        <f>D14</f>
        <v>0</v>
      </c>
      <c r="X14" s="38">
        <v>9</v>
      </c>
      <c r="Y14" s="231" t="str">
        <f t="shared" si="2"/>
        <v>Wetlands</v>
      </c>
      <c r="Z14" s="232">
        <f>IF(D14&lt;=0,TheModel!I36,VLOOKUP($A$1,CompositeCN,$X14+1))</f>
        <v>100</v>
      </c>
      <c r="AA14" s="233">
        <f t="shared" si="5"/>
        <v>0</v>
      </c>
      <c r="AB14" s="235">
        <f t="shared" si="9"/>
        <v>0</v>
      </c>
      <c r="AC14" s="253" t="e">
        <f t="shared" ca="1" si="6"/>
        <v>#DIV/0!</v>
      </c>
      <c r="AD14" s="252">
        <v>80</v>
      </c>
      <c r="AE14" s="252">
        <f>IFERROR(1000/AD14-10,0)</f>
        <v>2.5</v>
      </c>
      <c r="AF14" s="252">
        <f t="shared" si="11"/>
        <v>0.5</v>
      </c>
      <c r="AG14" s="252">
        <f ca="1">IF($D$3&lt;0.05*AE14,0,($D$3-AF14)^2/($D$3-AF14+AE14))</f>
        <v>0</v>
      </c>
      <c r="AH14" s="39"/>
      <c r="AI14" s="255" t="s">
        <v>141</v>
      </c>
      <c r="AJ14" s="290">
        <v>0</v>
      </c>
      <c r="AK14" s="290">
        <v>0</v>
      </c>
      <c r="AL14" s="290">
        <v>0</v>
      </c>
      <c r="AN14" s="221"/>
      <c r="AO14" s="221"/>
      <c r="AP14" s="221"/>
      <c r="AQ14" s="221"/>
      <c r="AR14" s="221"/>
      <c r="AS14" s="221"/>
    </row>
    <row r="15" spans="1:45" x14ac:dyDescent="0.25">
      <c r="A15" s="32"/>
      <c r="B15" s="24"/>
      <c r="C15" s="255" t="s">
        <v>142</v>
      </c>
      <c r="D15" s="34">
        <f>VLOOKUP($A$1,LANDCOVER,12)</f>
        <v>0</v>
      </c>
      <c r="E15" s="35" t="e">
        <f t="shared" si="0"/>
        <v>#DIV/0!</v>
      </c>
      <c r="F15" s="247">
        <f ca="1">IF($D$3&lt;0.05*AA15,0,($D$3-AB15)^2/($D$3-AB15+AA15))</f>
        <v>0</v>
      </c>
      <c r="G15" s="256">
        <f ca="1">D15*$F15*43560/12/1000</f>
        <v>0</v>
      </c>
      <c r="H15" s="250"/>
      <c r="I15" s="24"/>
      <c r="J15" s="33" t="s">
        <v>142</v>
      </c>
      <c r="K15" s="34">
        <f>VLOOKUP($A$1,LANDCOVERPOT,12)</f>
        <v>0</v>
      </c>
      <c r="L15" s="37" t="e">
        <f t="shared" si="1"/>
        <v>#DIV/0!</v>
      </c>
      <c r="M15" s="270">
        <f t="shared" ca="1" si="4"/>
        <v>0</v>
      </c>
      <c r="N15" s="250"/>
      <c r="O15" s="24"/>
      <c r="P15" s="33" t="s">
        <v>142</v>
      </c>
      <c r="Q15" s="245"/>
      <c r="R15" s="245"/>
      <c r="S15" s="245"/>
      <c r="T15" s="245"/>
      <c r="U15" s="245"/>
      <c r="V15" s="315">
        <f>D15</f>
        <v>0</v>
      </c>
      <c r="W15" s="24"/>
      <c r="X15" s="38">
        <v>10</v>
      </c>
      <c r="Y15" s="231" t="str">
        <f t="shared" si="2"/>
        <v>Scrub/Shrub/Palm</v>
      </c>
      <c r="Z15" s="232">
        <f>IF(D15&lt;=0,TheModel!I37,VLOOKUP($A$1,CompositeCN,$X15+1))</f>
        <v>60</v>
      </c>
      <c r="AA15" s="233">
        <f t="shared" si="5"/>
        <v>6.6666666666666679</v>
      </c>
      <c r="AB15" s="233">
        <f t="shared" si="9"/>
        <v>1.3333333333333337</v>
      </c>
      <c r="AC15" s="236">
        <f ca="1">IF($D$3&lt;0.05*AA15,0,($D$3-AB15)^2/($D$3-A15+AA15))</f>
        <v>0</v>
      </c>
      <c r="AD15" s="236"/>
      <c r="AE15" s="236"/>
      <c r="AF15" s="236"/>
      <c r="AG15" s="236"/>
      <c r="AH15" s="43"/>
      <c r="AI15" s="292" t="s">
        <v>142</v>
      </c>
      <c r="AJ15" s="293">
        <v>0</v>
      </c>
      <c r="AK15" s="293">
        <v>0</v>
      </c>
      <c r="AL15" s="293">
        <v>0</v>
      </c>
      <c r="AN15" s="271"/>
      <c r="AO15" s="271"/>
      <c r="AP15" s="271"/>
      <c r="AQ15" s="271"/>
      <c r="AR15" s="271"/>
      <c r="AS15" s="271"/>
    </row>
    <row r="16" spans="1:45" x14ac:dyDescent="0.25">
      <c r="C16" s="40" t="s">
        <v>143</v>
      </c>
      <c r="D16" s="41">
        <f>SUM(D6:D15)</f>
        <v>0</v>
      </c>
      <c r="E16" s="42"/>
      <c r="F16" s="42"/>
      <c r="G16" s="41" t="e">
        <f ca="1">SUM(G6:G15)</f>
        <v>#DIV/0!</v>
      </c>
      <c r="H16" s="41">
        <f ca="1">SUM(H6:H15)</f>
        <v>0</v>
      </c>
      <c r="J16" s="40" t="s">
        <v>143</v>
      </c>
      <c r="K16" s="41">
        <f>SUM(K6:K15)</f>
        <v>0</v>
      </c>
      <c r="L16" s="41"/>
      <c r="M16" s="41" t="e">
        <f ca="1">SUM(M6:M15)</f>
        <v>#DIV/0!</v>
      </c>
      <c r="N16" s="227" t="e">
        <f ca="1">SUM(N6:N15)</f>
        <v>#DIV/0!</v>
      </c>
      <c r="P16" s="40" t="s">
        <v>143</v>
      </c>
      <c r="Q16" s="246">
        <f ca="1">SUM(Q6:Q15)</f>
        <v>0</v>
      </c>
      <c r="R16" s="246">
        <f ca="1">SUM(R6:R15)</f>
        <v>0</v>
      </c>
      <c r="S16" s="246">
        <f t="shared" ref="S16:T16" ca="1" si="13">SUM(S6:S15)</f>
        <v>0</v>
      </c>
      <c r="T16" s="246">
        <f t="shared" ca="1" si="13"/>
        <v>0</v>
      </c>
      <c r="U16" s="246">
        <f ca="1">D16-V16</f>
        <v>0</v>
      </c>
      <c r="V16" s="316">
        <f ca="1">SUM(V6:V15)</f>
        <v>0</v>
      </c>
      <c r="Y16" s="393" t="s">
        <v>144</v>
      </c>
      <c r="Z16" s="393"/>
      <c r="AA16" s="393"/>
      <c r="AB16" s="393"/>
      <c r="AC16" s="393"/>
      <c r="AD16" s="393"/>
      <c r="AE16" s="393"/>
      <c r="AF16" s="43"/>
      <c r="AG16" s="43"/>
      <c r="AH16" s="43"/>
      <c r="AI16" s="294" t="s">
        <v>145</v>
      </c>
      <c r="AJ16" s="295">
        <f>SUM(AJ6:AJ15)</f>
        <v>0</v>
      </c>
      <c r="AK16" s="295">
        <f t="shared" ref="AK16:AL16" si="14">SUM(AK6:AK15)</f>
        <v>0</v>
      </c>
      <c r="AL16" s="296">
        <f t="shared" si="14"/>
        <v>0</v>
      </c>
    </row>
    <row r="17" spans="1:38" ht="15.75" customHeight="1" x14ac:dyDescent="0.25">
      <c r="C17" s="44"/>
      <c r="D17" s="45"/>
      <c r="E17" s="46"/>
      <c r="F17" s="46"/>
      <c r="G17" s="45"/>
      <c r="J17" s="44"/>
      <c r="K17" s="45"/>
      <c r="L17" s="45"/>
      <c r="M17" s="45"/>
      <c r="N17" s="47"/>
      <c r="Z17" s="394" t="s">
        <v>146</v>
      </c>
      <c r="AA17" s="394"/>
      <c r="AB17" s="394"/>
      <c r="AC17" s="394"/>
      <c r="AD17" s="394"/>
      <c r="AE17" s="394"/>
      <c r="AF17" s="43"/>
      <c r="AG17" s="43"/>
      <c r="AH17" s="43"/>
      <c r="AI17" s="297" t="s">
        <v>147</v>
      </c>
      <c r="AJ17" s="298">
        <f t="array" ref="AJ17:AL17">SUM(D6,D8,D12)*pervious+SUM(D7,D10)*impervious+D11*bare+SUM(D13,D14)*wetland-AJ16:AL16</f>
        <v>0</v>
      </c>
      <c r="AK17" s="298">
        <v>0</v>
      </c>
      <c r="AL17" s="299">
        <v>0</v>
      </c>
    </row>
    <row r="18" spans="1:38" ht="15" customHeight="1" x14ac:dyDescent="0.25">
      <c r="C18" s="378" t="s">
        <v>148</v>
      </c>
      <c r="D18" s="362"/>
      <c r="E18" s="362"/>
      <c r="F18" s="362"/>
      <c r="G18" s="362"/>
      <c r="H18" s="379"/>
      <c r="J18" s="380" t="s">
        <v>148</v>
      </c>
      <c r="K18" s="380"/>
      <c r="L18" s="380"/>
      <c r="M18" s="380"/>
      <c r="N18" s="380"/>
      <c r="U18" s="117"/>
      <c r="V18" s="117"/>
      <c r="Y18" s="218" t="s">
        <v>149</v>
      </c>
      <c r="Z18" s="237" t="s">
        <v>150</v>
      </c>
      <c r="AA18" s="238" t="s">
        <v>151</v>
      </c>
      <c r="AB18" s="239" t="s">
        <v>152</v>
      </c>
      <c r="AC18" s="237" t="s">
        <v>150</v>
      </c>
      <c r="AD18" s="238" t="s">
        <v>151</v>
      </c>
      <c r="AE18" s="239" t="s">
        <v>152</v>
      </c>
      <c r="AF18" s="43"/>
      <c r="AG18" s="43"/>
      <c r="AI18" s="297" t="s">
        <v>153</v>
      </c>
      <c r="AJ18" s="300" t="e">
        <f>AJ17/SUM(ABS(AJ17),AJ16)*100</f>
        <v>#DIV/0!</v>
      </c>
      <c r="AK18" s="300" t="e">
        <f>AK17/SUM(ABS(AK17),AK16)*100</f>
        <v>#DIV/0!</v>
      </c>
      <c r="AL18" s="301" t="e">
        <f>AL17/SUM(ABS(AL17),AL16)*100</f>
        <v>#DIV/0!</v>
      </c>
    </row>
    <row r="19" spans="1:38" s="24" customFormat="1" ht="15.75" customHeight="1" x14ac:dyDescent="0.25">
      <c r="A19"/>
      <c r="B19"/>
      <c r="C19" s="204" t="s">
        <v>154</v>
      </c>
      <c r="D19" s="204"/>
      <c r="E19" s="206"/>
      <c r="F19" s="396" t="s">
        <v>155</v>
      </c>
      <c r="G19" s="396"/>
      <c r="H19" s="207" t="e">
        <f>D36/D35</f>
        <v>#DIV/0!</v>
      </c>
      <c r="I19"/>
      <c r="J19" s="204" t="s">
        <v>154</v>
      </c>
      <c r="K19" s="204"/>
      <c r="L19" s="204"/>
      <c r="M19" s="213" t="s">
        <v>156</v>
      </c>
      <c r="N19" s="207" t="e">
        <f>D37/D35</f>
        <v>#DIV/0!</v>
      </c>
      <c r="O19"/>
      <c r="P19"/>
      <c r="Q19"/>
      <c r="R19"/>
      <c r="S19"/>
      <c r="T19"/>
      <c r="U19"/>
      <c r="V19"/>
      <c r="W19"/>
      <c r="X19"/>
      <c r="Y19" s="176" t="s">
        <v>133</v>
      </c>
      <c r="Z19" s="273" t="e">
        <f ca="1">AG6-AC6</f>
        <v>#DIV/0!</v>
      </c>
      <c r="AA19" s="274">
        <f ca="1">AC10-AC6</f>
        <v>0</v>
      </c>
      <c r="AB19" s="275"/>
      <c r="AC19" s="273" t="e">
        <f ca="1">Z19*(D6*E24)*(1-E25)*LossCF</f>
        <v>#DIV/0!</v>
      </c>
      <c r="AD19" s="276">
        <f ca="1">AA19*(E24*D6)*(E25)*LossCF</f>
        <v>0</v>
      </c>
      <c r="AE19" s="277"/>
      <c r="AF19"/>
      <c r="AG19"/>
      <c r="AI19" s="297"/>
      <c r="AJ19" s="298"/>
      <c r="AK19" s="298"/>
      <c r="AL19" s="299"/>
    </row>
    <row r="20" spans="1:38" s="24" customFormat="1" ht="15.75" customHeight="1" x14ac:dyDescent="0.25">
      <c r="A20" s="48"/>
      <c r="C20" s="208" t="s">
        <v>157</v>
      </c>
      <c r="D20" s="208"/>
      <c r="E20" s="208"/>
      <c r="F20" s="397" t="s">
        <v>155</v>
      </c>
      <c r="G20" s="397"/>
      <c r="H20" s="207">
        <f>IFERROR(D10/D35,0)</f>
        <v>0</v>
      </c>
      <c r="J20" s="208" t="s">
        <v>157</v>
      </c>
      <c r="K20" s="208"/>
      <c r="L20" s="208"/>
      <c r="M20" s="214" t="s">
        <v>158</v>
      </c>
      <c r="N20" s="207" t="e">
        <f>K10/SUM(K16,-K9)</f>
        <v>#DIV/0!</v>
      </c>
      <c r="Y20" s="177" t="s">
        <v>134</v>
      </c>
      <c r="Z20" s="262"/>
      <c r="AA20" s="260">
        <f ca="1">AC10-AC7</f>
        <v>0</v>
      </c>
      <c r="AB20" s="261"/>
      <c r="AC20" s="262"/>
      <c r="AD20" s="260">
        <f ca="1">AA20*D7*E24*LossCF</f>
        <v>0</v>
      </c>
      <c r="AE20" s="261"/>
      <c r="AI20" s="297" t="s">
        <v>159</v>
      </c>
      <c r="AJ20" s="298">
        <f t="array" ref="AJ20">SUM(K6:K15*nloads)</f>
        <v>0</v>
      </c>
      <c r="AK20" s="298">
        <f t="array" ref="AK20">SUM(K6:K15*ploads)</f>
        <v>0</v>
      </c>
      <c r="AL20" s="299">
        <f t="array" ref="AL20">SUM(K6:K15*sedloads)</f>
        <v>0</v>
      </c>
    </row>
    <row r="21" spans="1:38" s="24" customFormat="1" ht="15.75" customHeight="1" x14ac:dyDescent="0.25">
      <c r="A21" s="48"/>
      <c r="C21" s="209" t="s">
        <v>160</v>
      </c>
      <c r="D21" s="209"/>
      <c r="E21" s="210"/>
      <c r="F21" s="398" t="str">
        <f ca="1">C3</f>
        <v>1 yr / 24 hour      </v>
      </c>
      <c r="G21" s="398"/>
      <c r="H21" s="211" t="e">
        <f ca="1">H16/G16</f>
        <v>#DIV/0!</v>
      </c>
      <c r="J21" s="209" t="s">
        <v>161</v>
      </c>
      <c r="K21" s="209"/>
      <c r="L21" s="210"/>
      <c r="M21" s="215" t="s">
        <v>156</v>
      </c>
      <c r="N21" s="229" t="e">
        <f ca="1">N22/H22</f>
        <v>#DIV/0!</v>
      </c>
      <c r="Y21" s="177" t="s">
        <v>139</v>
      </c>
      <c r="Z21" s="278" t="e">
        <f ca="1">AG12-AC12</f>
        <v>#DIV/0!</v>
      </c>
      <c r="AA21" s="263">
        <f ca="1">AC10-AC12</f>
        <v>0</v>
      </c>
      <c r="AB21" s="264"/>
      <c r="AC21" s="265" t="e">
        <f ca="1">Z21*D12*E27*(1-E28)*LossCF</f>
        <v>#DIV/0!</v>
      </c>
      <c r="AD21" s="260">
        <f ca="1">AA21*D12*E27*E28*LossCF</f>
        <v>0</v>
      </c>
      <c r="AE21" s="261"/>
      <c r="AI21" s="297" t="s">
        <v>162</v>
      </c>
      <c r="AJ21" s="298">
        <f t="array" ref="AJ21:AL21">AJ16:AL16-AJ20:AL20</f>
        <v>0</v>
      </c>
      <c r="AK21" s="298">
        <v>0</v>
      </c>
      <c r="AL21" s="299">
        <v>0</v>
      </c>
    </row>
    <row r="22" spans="1:38" s="24" customFormat="1" ht="15.75" customHeight="1" x14ac:dyDescent="0.25">
      <c r="A22" s="48"/>
      <c r="C22" s="386" t="s">
        <v>163</v>
      </c>
      <c r="D22" s="386"/>
      <c r="E22" s="210"/>
      <c r="F22" s="398" t="str">
        <f ca="1">C3</f>
        <v>1 yr / 24 hour      </v>
      </c>
      <c r="G22" s="398"/>
      <c r="H22" s="212">
        <f ca="1">H16*7.48052/1000</f>
        <v>0</v>
      </c>
      <c r="J22" s="386" t="s">
        <v>164</v>
      </c>
      <c r="K22" s="386"/>
      <c r="L22" s="216" t="s">
        <v>156</v>
      </c>
      <c r="M22" s="228" t="s">
        <v>156</v>
      </c>
      <c r="N22" s="267" t="e">
        <f ca="1">N16*7.48052/1000</f>
        <v>#DIV/0!</v>
      </c>
      <c r="O22" s="49"/>
      <c r="P22" s="49"/>
      <c r="Q22" s="49"/>
      <c r="R22" s="49"/>
      <c r="S22" s="49"/>
      <c r="T22" s="49"/>
      <c r="U22" s="49"/>
      <c r="V22" s="49"/>
      <c r="W22" s="49"/>
      <c r="Y22" s="177" t="s">
        <v>140</v>
      </c>
      <c r="Z22" s="279">
        <f ca="1">AG14-AC13</f>
        <v>0</v>
      </c>
      <c r="AA22" s="280">
        <f ca="1">AC10-AC13</f>
        <v>0</v>
      </c>
      <c r="AB22" s="281"/>
      <c r="AC22" s="279">
        <f ca="1">Z22*D13*E27*(1-E28)*LossCF</f>
        <v>0</v>
      </c>
      <c r="AD22" s="282">
        <f ca="1">AA22*D13*E27*E28*LossCF</f>
        <v>0</v>
      </c>
      <c r="AE22" s="283"/>
      <c r="AI22" s="297" t="s">
        <v>165</v>
      </c>
      <c r="AJ22" s="300" t="e">
        <f>AJ21/AJ16*100</f>
        <v>#DIV/0!</v>
      </c>
      <c r="AK22" s="300" t="e">
        <f>AK21/AK16*100</f>
        <v>#DIV/0!</v>
      </c>
      <c r="AL22" s="301" t="e">
        <f>AL21/AL16*100</f>
        <v>#DIV/0!</v>
      </c>
    </row>
    <row r="23" spans="1:38" s="24" customFormat="1" ht="15.75" customHeight="1" x14ac:dyDescent="0.25">
      <c r="A23" s="48"/>
      <c r="C23" s="399" t="s">
        <v>166</v>
      </c>
      <c r="D23" s="399"/>
      <c r="E23" s="399"/>
      <c r="F23" s="399"/>
      <c r="G23" s="399"/>
      <c r="H23" s="399"/>
      <c r="J23" s="51"/>
      <c r="K23" s="51"/>
      <c r="L23" s="52"/>
      <c r="M23" s="53"/>
      <c r="N23" s="54"/>
      <c r="O23" s="49"/>
      <c r="P23" s="49"/>
      <c r="Q23" s="49"/>
      <c r="R23" s="49"/>
      <c r="S23" s="49"/>
      <c r="T23" s="49"/>
      <c r="U23" s="49"/>
      <c r="V23" s="49"/>
      <c r="W23" s="49"/>
      <c r="Y23" s="50">
        <f>43560/12/1000*7.48052/1000</f>
        <v>2.71542876E-2</v>
      </c>
      <c r="Z23" s="400" t="s">
        <v>167</v>
      </c>
      <c r="AA23" s="401"/>
      <c r="AB23" s="401"/>
      <c r="AC23" s="400" t="s">
        <v>64</v>
      </c>
      <c r="AD23" s="401"/>
      <c r="AE23" s="402"/>
      <c r="AI23" s="302"/>
      <c r="AL23" s="303"/>
    </row>
    <row r="24" spans="1:38" s="24" customFormat="1" ht="15.75" customHeight="1" x14ac:dyDescent="0.25">
      <c r="A24" s="48"/>
      <c r="C24" s="403" t="s">
        <v>168</v>
      </c>
      <c r="D24" s="403"/>
      <c r="E24" s="193">
        <f ca="1">INDIRECT("Summary!j"&amp;(12+A1))</f>
        <v>0</v>
      </c>
      <c r="F24" s="404" t="s">
        <v>169</v>
      </c>
      <c r="G24" s="404"/>
      <c r="H24" s="404"/>
      <c r="J24" s="405" t="s">
        <v>170</v>
      </c>
      <c r="K24" s="405"/>
      <c r="L24" s="405"/>
      <c r="M24" s="405"/>
      <c r="N24" s="203" t="str">
        <f ca="1">INDIRECT("Summary!h"&amp;(12+A1))</f>
        <v/>
      </c>
      <c r="O24" s="49"/>
      <c r="P24" s="49"/>
      <c r="Q24" s="49"/>
      <c r="R24" s="49"/>
      <c r="S24" s="49"/>
      <c r="T24" s="49"/>
      <c r="U24" s="49"/>
      <c r="V24" s="49"/>
      <c r="W24" s="49"/>
      <c r="Y24" s="330" t="s">
        <v>171</v>
      </c>
      <c r="AI24" s="304" t="s">
        <v>172</v>
      </c>
      <c r="AJ24" s="305">
        <f t="array" aca="1" ref="AJ24" ca="1">SUMPRODUCT(V6:V15,nloads)</f>
        <v>0</v>
      </c>
      <c r="AK24" s="305">
        <f ca="1">SUMPRODUCT(V6:V15,ploads)</f>
        <v>0</v>
      </c>
      <c r="AL24" s="306">
        <f ca="1">SUMPRODUCT(V6:V15,sedloads)</f>
        <v>0</v>
      </c>
    </row>
    <row r="25" spans="1:38" s="24" customFormat="1" ht="15.75" customHeight="1" x14ac:dyDescent="0.25">
      <c r="A25" s="48"/>
      <c r="C25" s="403"/>
      <c r="D25" s="403"/>
      <c r="E25" s="193">
        <f ca="1">INDIRECT("Summary!L"&amp;(12+A1))</f>
        <v>0</v>
      </c>
      <c r="F25" s="404" t="s">
        <v>173</v>
      </c>
      <c r="G25" s="404"/>
      <c r="H25" s="404"/>
      <c r="J25" s="204" t="s">
        <v>174</v>
      </c>
      <c r="K25" s="406" t="s">
        <v>64</v>
      </c>
      <c r="L25" s="406"/>
      <c r="M25" s="406"/>
      <c r="N25" s="205" t="e">
        <f ca="1">H22+N22</f>
        <v>#DIV/0!</v>
      </c>
      <c r="O25" s="49"/>
      <c r="P25" s="49"/>
      <c r="Q25" s="49"/>
      <c r="R25" s="49"/>
      <c r="S25" s="49"/>
      <c r="T25" s="49"/>
      <c r="U25" s="49"/>
      <c r="V25" s="49"/>
      <c r="W25" s="49"/>
      <c r="Y25" s="330" t="s">
        <v>175</v>
      </c>
      <c r="AI25" s="304" t="s">
        <v>176</v>
      </c>
      <c r="AJ25" s="305">
        <f ca="1">AJ24-AJ16</f>
        <v>0</v>
      </c>
      <c r="AK25" s="305">
        <f t="shared" ref="AK25:AL25" ca="1" si="15">AK24-AK16</f>
        <v>0</v>
      </c>
      <c r="AL25" s="306">
        <f t="shared" ca="1" si="15"/>
        <v>0</v>
      </c>
    </row>
    <row r="26" spans="1:38" ht="21" x14ac:dyDescent="0.25">
      <c r="A26" s="48"/>
      <c r="B26" s="24"/>
      <c r="C26" s="407" t="s">
        <v>177</v>
      </c>
      <c r="D26" s="407"/>
      <c r="E26" s="194" t="e">
        <f ca="1">SUM(AC19:AE20)</f>
        <v>#DIV/0!</v>
      </c>
      <c r="F26" s="404" t="s">
        <v>64</v>
      </c>
      <c r="G26" s="404"/>
      <c r="H26" s="404"/>
      <c r="I26" s="24"/>
      <c r="J26" s="55"/>
      <c r="K26" s="56"/>
      <c r="L26" s="57"/>
      <c r="M26" s="58"/>
      <c r="N26" s="59"/>
      <c r="O26" s="49"/>
      <c r="P26" s="49"/>
      <c r="Q26" s="49"/>
      <c r="R26" s="49"/>
      <c r="S26" s="49"/>
      <c r="T26" s="49"/>
      <c r="U26" s="49"/>
      <c r="V26" s="49"/>
      <c r="W26" s="49"/>
      <c r="X26" s="24"/>
      <c r="Y26" s="330" t="s">
        <v>178</v>
      </c>
      <c r="Z26" s="24"/>
      <c r="AA26" s="24"/>
      <c r="AB26" s="24"/>
      <c r="AC26" s="24"/>
      <c r="AD26" s="24"/>
      <c r="AE26" s="24"/>
      <c r="AF26" s="24"/>
      <c r="AG26" s="24"/>
      <c r="AI26" s="307" t="s">
        <v>179</v>
      </c>
      <c r="AJ26" s="308" t="e">
        <f ca="1">(AJ24-AJ16)/AJ16*100</f>
        <v>#DIV/0!</v>
      </c>
      <c r="AK26" s="308" t="e">
        <f t="shared" ref="AK26:AL26" ca="1" si="16">(AK24-AK16)/AK16*100</f>
        <v>#DIV/0!</v>
      </c>
      <c r="AL26" s="309" t="e">
        <f t="shared" ca="1" si="16"/>
        <v>#DIV/0!</v>
      </c>
    </row>
    <row r="27" spans="1:38" x14ac:dyDescent="0.25">
      <c r="C27" s="403" t="s">
        <v>180</v>
      </c>
      <c r="D27" s="403"/>
      <c r="E27" s="193">
        <f ca="1">INDIRECT("Summary!k"&amp;(12+A1))</f>
        <v>0</v>
      </c>
      <c r="F27" s="404" t="s">
        <v>181</v>
      </c>
      <c r="G27" s="404"/>
      <c r="H27" s="404"/>
      <c r="Y27" s="330" t="s">
        <v>289</v>
      </c>
      <c r="AI27" s="24"/>
      <c r="AJ27" s="24"/>
      <c r="AK27" s="24"/>
      <c r="AL27" s="24"/>
    </row>
    <row r="28" spans="1:38" x14ac:dyDescent="0.25">
      <c r="C28" s="403"/>
      <c r="D28" s="403"/>
      <c r="E28" s="193">
        <f ca="1">INDIRECT("Summary!L"&amp;(12+A1))</f>
        <v>0</v>
      </c>
      <c r="F28" s="404" t="s">
        <v>173</v>
      </c>
      <c r="G28" s="404"/>
      <c r="H28" s="404"/>
      <c r="AI28" s="24"/>
      <c r="AJ28" s="24"/>
      <c r="AK28" s="24"/>
      <c r="AL28" s="221"/>
    </row>
    <row r="29" spans="1:38" x14ac:dyDescent="0.25">
      <c r="C29" s="407" t="s">
        <v>177</v>
      </c>
      <c r="D29" s="407"/>
      <c r="E29" s="195" t="e">
        <f ca="1">SUM(AC21:AE22)</f>
        <v>#DIV/0!</v>
      </c>
      <c r="F29" s="333" t="s">
        <v>64</v>
      </c>
      <c r="G29" s="333"/>
      <c r="H29" s="198"/>
      <c r="AI29" s="24"/>
      <c r="AJ29" s="24"/>
      <c r="AK29" s="24"/>
      <c r="AL29" s="24"/>
    </row>
    <row r="30" spans="1:38" x14ac:dyDescent="0.25">
      <c r="C30" s="199" t="s">
        <v>182</v>
      </c>
      <c r="D30" s="200"/>
      <c r="E30" s="196">
        <f ca="1">IFERROR((E24*SUM(D6:D7)+E27*SUM(D12:D13))/SUM(D6:D7,D12:D13),0)</f>
        <v>0</v>
      </c>
      <c r="F30" s="199" t="s">
        <v>183</v>
      </c>
      <c r="G30" s="199"/>
      <c r="H30" s="200"/>
    </row>
    <row r="31" spans="1:38" x14ac:dyDescent="0.25">
      <c r="C31" s="408" t="s">
        <v>177</v>
      </c>
      <c r="D31" s="408"/>
      <c r="E31" s="197">
        <f ca="1">IFERROR(SUM(E26,E29),0)</f>
        <v>0</v>
      </c>
      <c r="F31" s="201" t="s">
        <v>64</v>
      </c>
      <c r="G31" s="333"/>
      <c r="H31" s="202"/>
    </row>
    <row r="32" spans="1:38" x14ac:dyDescent="0.25">
      <c r="K32" s="97"/>
      <c r="L32" s="178"/>
    </row>
    <row r="33" spans="3:4" x14ac:dyDescent="0.25">
      <c r="C33" t="s">
        <v>184</v>
      </c>
    </row>
    <row r="34" spans="3:4" ht="15.75" x14ac:dyDescent="0.25">
      <c r="C34" s="29"/>
      <c r="D34" s="30" t="s">
        <v>115</v>
      </c>
    </row>
    <row r="35" spans="3:4" x14ac:dyDescent="0.25">
      <c r="C35" s="33" t="s">
        <v>185</v>
      </c>
      <c r="D35" s="34">
        <f>D16-(D9+D14)</f>
        <v>0</v>
      </c>
    </row>
    <row r="36" spans="3:4" x14ac:dyDescent="0.25">
      <c r="C36" s="33" t="s">
        <v>186</v>
      </c>
      <c r="D36" s="34">
        <f>SUM(D6,D7,D12,D13)</f>
        <v>0</v>
      </c>
    </row>
    <row r="37" spans="3:4" x14ac:dyDescent="0.25">
      <c r="C37" s="33" t="s">
        <v>187</v>
      </c>
      <c r="D37" s="34">
        <f>K6+K7+K12+K13</f>
        <v>0</v>
      </c>
    </row>
    <row r="38" spans="3:4" x14ac:dyDescent="0.25">
      <c r="C38" s="33" t="s">
        <v>188</v>
      </c>
      <c r="D38" s="34">
        <f>D7+D10</f>
        <v>0</v>
      </c>
    </row>
    <row r="39" spans="3:4" x14ac:dyDescent="0.25">
      <c r="C39" s="33" t="s">
        <v>189</v>
      </c>
      <c r="D39" s="34">
        <f>D6+D8+D11+D12</f>
        <v>0</v>
      </c>
    </row>
    <row r="40" spans="3:4" x14ac:dyDescent="0.25">
      <c r="C40" s="33" t="s">
        <v>102</v>
      </c>
      <c r="D40" s="34">
        <f>D37-D36</f>
        <v>0</v>
      </c>
    </row>
    <row r="41" spans="3:4" x14ac:dyDescent="0.25">
      <c r="C41" s="33" t="s">
        <v>190</v>
      </c>
      <c r="D41" s="36">
        <f ca="1">(D6+D7)*E24</f>
        <v>0</v>
      </c>
    </row>
    <row r="42" spans="3:4" x14ac:dyDescent="0.25">
      <c r="C42" s="33" t="s">
        <v>191</v>
      </c>
      <c r="D42" s="36">
        <f ca="1">(D12)*E27</f>
        <v>0</v>
      </c>
    </row>
  </sheetData>
  <mergeCells count="35">
    <mergeCell ref="C18:H18"/>
    <mergeCell ref="J18:N18"/>
    <mergeCell ref="C1:H1"/>
    <mergeCell ref="E2:H2"/>
    <mergeCell ref="E3:H3"/>
    <mergeCell ref="D4:H4"/>
    <mergeCell ref="J4:N4"/>
    <mergeCell ref="J22:K22"/>
    <mergeCell ref="Y4:AG4"/>
    <mergeCell ref="AJ4:AL4"/>
    <mergeCell ref="Y16:AE16"/>
    <mergeCell ref="Z17:AE17"/>
    <mergeCell ref="P4:V4"/>
    <mergeCell ref="F19:G19"/>
    <mergeCell ref="F20:G20"/>
    <mergeCell ref="F21:G21"/>
    <mergeCell ref="C22:D22"/>
    <mergeCell ref="F22:G22"/>
    <mergeCell ref="C23:H23"/>
    <mergeCell ref="Z23:AB23"/>
    <mergeCell ref="AC23:AE23"/>
    <mergeCell ref="C24:D24"/>
    <mergeCell ref="F24:H24"/>
    <mergeCell ref="J24:M24"/>
    <mergeCell ref="K25:M25"/>
    <mergeCell ref="C26:D26"/>
    <mergeCell ref="F26:H26"/>
    <mergeCell ref="C27:D27"/>
    <mergeCell ref="F27:H27"/>
    <mergeCell ref="C28:D28"/>
    <mergeCell ref="F28:H28"/>
    <mergeCell ref="C29:D29"/>
    <mergeCell ref="C31:D31"/>
    <mergeCell ref="C25:D25"/>
    <mergeCell ref="F25:H25"/>
  </mergeCells>
  <dataValidations count="1">
    <dataValidation type="decimal" allowBlank="1" showInputMessage="1" showErrorMessage="1" sqref="N24" xr:uid="{00000000-0002-0000-0300-000000000000}">
      <formula1>H19</formula1>
      <formula2>N19</formula2>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1000000}">
          <x14:formula1>
            <xm:f>Events!$B$3:$B$9</xm:f>
          </x14:formula1>
          <xm:sqref>C4:C5 C34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A1:AS42"/>
  <sheetViews>
    <sheetView showGridLines="0" zoomScale="125" zoomScaleNormal="90" zoomScalePageLayoutView="90" workbookViewId="0">
      <pane ySplit="3" topLeftCell="A19" activePane="bottomLeft" state="frozen"/>
      <selection activeCell="AJ21" sqref="AJ21"/>
      <selection pane="bottomLeft" activeCell="V25" sqref="V25"/>
    </sheetView>
  </sheetViews>
  <sheetFormatPr defaultColWidth="8.85546875" defaultRowHeight="15" x14ac:dyDescent="0.25"/>
  <cols>
    <col min="1" max="2" width="2" bestFit="1" customWidth="1"/>
    <col min="3" max="3" width="36.28515625" bestFit="1" customWidth="1"/>
    <col min="4" max="4" width="10" bestFit="1" customWidth="1"/>
    <col min="5" max="5" width="8.7109375" customWidth="1"/>
    <col min="6" max="6" width="9" customWidth="1"/>
    <col min="7" max="7" width="11.28515625" bestFit="1" customWidth="1"/>
    <col min="8" max="8" width="9.42578125" bestFit="1" customWidth="1"/>
    <col min="9" max="9" width="4.7109375" customWidth="1"/>
    <col min="10" max="10" width="27.28515625" customWidth="1"/>
    <col min="11" max="11" width="11" customWidth="1"/>
    <col min="12" max="12" width="7.42578125" customWidth="1"/>
    <col min="13" max="13" width="14.85546875" customWidth="1"/>
    <col min="14" max="14" width="12" customWidth="1"/>
    <col min="15" max="15" width="4.42578125" customWidth="1"/>
    <col min="16" max="16" width="21.7109375" customWidth="1"/>
    <col min="17" max="21" width="7.42578125" customWidth="1"/>
    <col min="22" max="22" width="9.140625" customWidth="1"/>
    <col min="23" max="23" width="5.28515625" customWidth="1"/>
    <col min="24" max="24" width="3.42578125" bestFit="1" customWidth="1"/>
    <col min="25" max="25" width="27.42578125" bestFit="1" customWidth="1"/>
    <col min="26" max="33" width="7.42578125" customWidth="1"/>
    <col min="34" max="34" width="7" customWidth="1"/>
    <col min="35" max="35" width="39.140625" customWidth="1"/>
    <col min="36" max="38" width="12.42578125" customWidth="1"/>
    <col min="40" max="40" width="23" bestFit="1" customWidth="1"/>
  </cols>
  <sheetData>
    <row r="1" spans="1:45" s="2" customFormat="1" ht="19.5" customHeight="1" x14ac:dyDescent="0.25">
      <c r="A1" s="22">
        <v>3</v>
      </c>
      <c r="C1" s="381">
        <f>VLOOKUP(A1,LANDCOVER,2)</f>
        <v>0</v>
      </c>
      <c r="D1" s="381"/>
      <c r="E1" s="381"/>
      <c r="F1" s="381"/>
      <c r="G1" s="381"/>
      <c r="H1" s="381"/>
    </row>
    <row r="2" spans="1:45" s="24" customFormat="1" ht="15.75" x14ac:dyDescent="0.25">
      <c r="A2" s="23"/>
      <c r="C2" s="25" t="s">
        <v>106</v>
      </c>
      <c r="D2" s="26" t="s">
        <v>107</v>
      </c>
      <c r="E2" s="382" t="s">
        <v>108</v>
      </c>
      <c r="F2" s="382"/>
      <c r="G2" s="382"/>
      <c r="H2" s="382"/>
    </row>
    <row r="3" spans="1:45" s="28" customFormat="1" ht="15.75" customHeight="1" x14ac:dyDescent="0.25">
      <c r="A3" s="27"/>
      <c r="C3" s="49" t="str">
        <f ca="1">INDIRECT("Summary!I"&amp;(12+A1))</f>
        <v>1 yr / 24 hour      </v>
      </c>
      <c r="D3" s="172">
        <f ca="1">VLOOKUP($C$3,Events!$B$3:$D$9,2,FALSE)</f>
        <v>0</v>
      </c>
      <c r="E3" s="383">
        <f ca="1">VLOOKUP($C$3,Events!$B$3:$D$9,3,FALSE)</f>
        <v>0</v>
      </c>
      <c r="F3" s="383"/>
      <c r="G3" s="383"/>
      <c r="H3" s="383"/>
      <c r="J3" s="24"/>
      <c r="K3" s="24"/>
      <c r="L3" s="24"/>
      <c r="M3" s="24"/>
      <c r="N3" s="24"/>
      <c r="Y3" s="24"/>
      <c r="Z3" s="24"/>
      <c r="AA3" s="24"/>
      <c r="AB3" s="24"/>
      <c r="AC3" s="24"/>
      <c r="AD3" s="24"/>
      <c r="AE3" s="24"/>
      <c r="AF3" s="24"/>
      <c r="AG3" s="24"/>
      <c r="AI3" s="24"/>
      <c r="AJ3" s="24"/>
      <c r="AK3" s="24"/>
      <c r="AL3" s="24"/>
    </row>
    <row r="4" spans="1:45" s="24" customFormat="1" ht="15" customHeight="1" x14ac:dyDescent="0.25">
      <c r="A4" s="23"/>
      <c r="C4" s="257"/>
      <c r="D4" s="384" t="s">
        <v>109</v>
      </c>
      <c r="E4" s="384"/>
      <c r="F4" s="384"/>
      <c r="G4" s="384"/>
      <c r="H4" s="384"/>
      <c r="J4" s="385" t="s">
        <v>110</v>
      </c>
      <c r="K4" s="385"/>
      <c r="L4" s="385"/>
      <c r="M4" s="385"/>
      <c r="N4" s="385"/>
      <c r="P4" s="395" t="s">
        <v>111</v>
      </c>
      <c r="Q4" s="395"/>
      <c r="R4" s="395"/>
      <c r="S4" s="395"/>
      <c r="T4" s="395"/>
      <c r="U4" s="395"/>
      <c r="V4" s="395"/>
      <c r="Y4" s="387" t="s">
        <v>112</v>
      </c>
      <c r="Z4" s="388"/>
      <c r="AA4" s="388"/>
      <c r="AB4" s="388"/>
      <c r="AC4" s="388"/>
      <c r="AD4" s="388"/>
      <c r="AE4" s="388"/>
      <c r="AF4" s="388"/>
      <c r="AG4" s="389"/>
      <c r="AI4" s="284" t="s">
        <v>113</v>
      </c>
      <c r="AJ4" s="390" t="s">
        <v>114</v>
      </c>
      <c r="AK4" s="391"/>
      <c r="AL4" s="392"/>
    </row>
    <row r="5" spans="1:45" s="24" customFormat="1" ht="27.95" customHeight="1" x14ac:dyDescent="0.25">
      <c r="A5" s="23"/>
      <c r="C5" s="258"/>
      <c r="D5" s="334" t="s">
        <v>115</v>
      </c>
      <c r="E5" s="334" t="s">
        <v>84</v>
      </c>
      <c r="F5" s="259" t="s">
        <v>116</v>
      </c>
      <c r="G5" s="259" t="s">
        <v>117</v>
      </c>
      <c r="H5" s="259" t="s">
        <v>118</v>
      </c>
      <c r="J5" s="174"/>
      <c r="K5" s="192" t="s">
        <v>115</v>
      </c>
      <c r="L5" s="192" t="s">
        <v>84</v>
      </c>
      <c r="M5" s="268" t="s">
        <v>119</v>
      </c>
      <c r="N5" s="226" t="s">
        <v>120</v>
      </c>
      <c r="P5" s="174"/>
      <c r="Q5" s="332" t="s">
        <v>103</v>
      </c>
      <c r="R5" s="332" t="s">
        <v>121</v>
      </c>
      <c r="S5" s="332" t="s">
        <v>104</v>
      </c>
      <c r="T5" s="332" t="s">
        <v>122</v>
      </c>
      <c r="U5" s="332" t="s">
        <v>123</v>
      </c>
      <c r="V5" s="192" t="s">
        <v>115</v>
      </c>
      <c r="Y5" s="230" t="s">
        <v>124</v>
      </c>
      <c r="Z5" s="215" t="s">
        <v>125</v>
      </c>
      <c r="AA5" s="254" t="s">
        <v>126</v>
      </c>
      <c r="AB5" s="234" t="s">
        <v>127</v>
      </c>
      <c r="AC5" s="254" t="s">
        <v>128</v>
      </c>
      <c r="AD5" s="272" t="s">
        <v>125</v>
      </c>
      <c r="AE5" s="272" t="s">
        <v>126</v>
      </c>
      <c r="AF5" s="272" t="s">
        <v>127</v>
      </c>
      <c r="AG5" s="272" t="s">
        <v>128</v>
      </c>
      <c r="AH5" s="31"/>
      <c r="AI5" s="285" t="s">
        <v>129</v>
      </c>
      <c r="AJ5" s="286" t="s">
        <v>130</v>
      </c>
      <c r="AK5" s="287" t="s">
        <v>131</v>
      </c>
      <c r="AL5" s="288" t="s">
        <v>132</v>
      </c>
    </row>
    <row r="6" spans="1:45" s="24" customFormat="1" x14ac:dyDescent="0.25">
      <c r="A6" s="32"/>
      <c r="C6" s="255" t="s">
        <v>133</v>
      </c>
      <c r="D6" s="34">
        <f>VLOOKUP($A$1,LANDCOVER,3)</f>
        <v>0</v>
      </c>
      <c r="E6" s="35" t="e">
        <f t="shared" ref="E6:E15" si="0">D6/$D$16</f>
        <v>#DIV/0!</v>
      </c>
      <c r="F6" s="247">
        <f ca="1">IF($D$3&lt;0.05*AA6,0,($D$3-AB6)^2/($D$3-AB6+AA6))</f>
        <v>0</v>
      </c>
      <c r="G6" s="256">
        <f ca="1">D6*F6*43560/12/1000</f>
        <v>0</v>
      </c>
      <c r="H6" s="266">
        <f ca="1">IFERROR(($AG6/$AC6-1)*G6,0)</f>
        <v>0</v>
      </c>
      <c r="J6" s="173" t="s">
        <v>133</v>
      </c>
      <c r="K6" s="34">
        <f>VLOOKUP($A$1,LANDCOVERPOT,3)</f>
        <v>0</v>
      </c>
      <c r="L6" s="175" t="e">
        <f t="shared" ref="L6:L15" si="1">K6/$K$16</f>
        <v>#DIV/0!</v>
      </c>
      <c r="M6" s="269">
        <f ca="1">K6*$F6*43560/12/1000</f>
        <v>0</v>
      </c>
      <c r="N6" s="250"/>
      <c r="P6" s="173" t="s">
        <v>133</v>
      </c>
      <c r="Q6" s="244">
        <f ca="1">D6*INDIRECT("Summary!j"&amp;(12+A1))</f>
        <v>0</v>
      </c>
      <c r="R6" s="244">
        <f ca="1">(K6-D6)*INDIRECT("Summary!p"&amp;(12+A1))</f>
        <v>0</v>
      </c>
      <c r="S6" s="244"/>
      <c r="T6" s="244"/>
      <c r="U6" s="244"/>
      <c r="V6" s="315">
        <f ca="1">D6-Q6+R6+U6</f>
        <v>0</v>
      </c>
      <c r="X6" s="38">
        <v>1</v>
      </c>
      <c r="Y6" s="231" t="str">
        <f t="shared" ref="Y6:Y15" si="2">C6</f>
        <v>Tree Canopy</v>
      </c>
      <c r="Z6" s="232">
        <f>IF(D6&lt;=0,TheModel!I28,VLOOKUP($A$1,CompositeCN,$X6+1))</f>
        <v>59</v>
      </c>
      <c r="AA6" s="233">
        <f>IFERROR(1000/Z6-10,0)</f>
        <v>6.9491525423728824</v>
      </c>
      <c r="AB6" s="235">
        <f>0.2*AA6+ModelCi</f>
        <v>1.4398305084745766</v>
      </c>
      <c r="AC6" s="253">
        <f ca="1">IF($D$3&lt;0.05*AA6,0,($D$3-AB6)^2/($D$3-AB6+AA6))</f>
        <v>0</v>
      </c>
      <c r="AD6" s="252" t="e">
        <f ca="1">INDIRECT("LC_HSG_Data!CS"&amp;(5+A1))</f>
        <v>#DIV/0!</v>
      </c>
      <c r="AE6" s="252">
        <f ca="1">IFERROR(1000/AD6-10,0)</f>
        <v>0</v>
      </c>
      <c r="AF6" s="252">
        <f t="shared" ref="AF6" ca="1" si="3">0.2*AE6</f>
        <v>0</v>
      </c>
      <c r="AG6" s="252" t="e">
        <f ca="1">IF($D$3&lt;0.05*AE6,0,($D$3-AF6)^2/($D$3-AF6+AE6))</f>
        <v>#DIV/0!</v>
      </c>
      <c r="AH6" s="39"/>
      <c r="AI6" s="255" t="s">
        <v>133</v>
      </c>
      <c r="AJ6" s="289">
        <f t="array" ref="AJ6:AL15">D6:D15*loads</f>
        <v>0</v>
      </c>
      <c r="AK6" s="289">
        <v>0</v>
      </c>
      <c r="AL6" s="289">
        <v>0</v>
      </c>
      <c r="AN6" s="221"/>
      <c r="AO6" s="221"/>
      <c r="AP6" s="221"/>
      <c r="AQ6" s="221"/>
      <c r="AR6" s="221"/>
      <c r="AS6" s="221"/>
    </row>
    <row r="7" spans="1:45" s="24" customFormat="1" x14ac:dyDescent="0.25">
      <c r="A7" s="32"/>
      <c r="C7" s="255" t="s">
        <v>134</v>
      </c>
      <c r="D7" s="34">
        <f>VLOOKUP($A$1,LANDCOVER,4)</f>
        <v>0</v>
      </c>
      <c r="E7" s="35" t="e">
        <f t="shared" si="0"/>
        <v>#DIV/0!</v>
      </c>
      <c r="F7" s="247">
        <f ca="1">IF($D$3&lt;0.05*AA7,0,($D$3-AB7)^2/($D$3-AB7+AA7))</f>
        <v>0</v>
      </c>
      <c r="G7" s="256">
        <f ca="1">D7*F7*43560/12/1000</f>
        <v>0</v>
      </c>
      <c r="H7" s="266">
        <f ca="1">IFERROR(($AC10/$AC7-1)*G7,0)</f>
        <v>0</v>
      </c>
      <c r="J7" s="33" t="s">
        <v>134</v>
      </c>
      <c r="K7" s="34">
        <f>VLOOKUP($A$1,LANDCOVERPOT,4)</f>
        <v>0</v>
      </c>
      <c r="L7" s="37" t="e">
        <f t="shared" si="1"/>
        <v>#DIV/0!</v>
      </c>
      <c r="M7" s="270">
        <f t="shared" ref="M7:M15" ca="1" si="4">K7*$F7*43560/12/1000</f>
        <v>0</v>
      </c>
      <c r="N7" s="250"/>
      <c r="P7" s="33" t="s">
        <v>134</v>
      </c>
      <c r="Q7" s="245">
        <f ca="1">D7*INDIRECT("Summary!j"&amp;(12+A1))</f>
        <v>0</v>
      </c>
      <c r="R7" s="245">
        <f ca="1">(K7-D7)*INDIRECT("Summary!p"&amp;(12+A1))</f>
        <v>0</v>
      </c>
      <c r="S7" s="245"/>
      <c r="T7" s="245"/>
      <c r="U7" s="245"/>
      <c r="V7" s="315">
        <f ca="1">D7-Q7+R7</f>
        <v>0</v>
      </c>
      <c r="X7" s="38">
        <v>2</v>
      </c>
      <c r="Y7" s="231" t="str">
        <f t="shared" si="2"/>
        <v>Tree Canopy over Impervious</v>
      </c>
      <c r="Z7" s="232">
        <f>IF(D7&lt;=0,TheModel!I29,VLOOKUP($A$1,CompositeCN,$X7+1))</f>
        <v>96</v>
      </c>
      <c r="AA7" s="233">
        <f t="shared" ref="AA7:AA15" si="5">IFERROR(1000/Z7-10,0)</f>
        <v>0.41666666666666607</v>
      </c>
      <c r="AB7" s="235">
        <f>0.2*AA7+ModelCi</f>
        <v>0.13333333333333322</v>
      </c>
      <c r="AC7" s="253">
        <f t="shared" ref="AC7:AC14" ca="1" si="6">IF($D$3&lt;0.05*AA7,0,($D$3-AB7)^2/($D$3-AB7+AA7))</f>
        <v>0</v>
      </c>
      <c r="AD7" s="252"/>
      <c r="AE7" s="252"/>
      <c r="AF7" s="252"/>
      <c r="AG7" s="252"/>
      <c r="AH7" s="39"/>
      <c r="AI7" s="255" t="s">
        <v>134</v>
      </c>
      <c r="AJ7" s="289">
        <v>0</v>
      </c>
      <c r="AK7" s="289">
        <v>0</v>
      </c>
      <c r="AL7" s="289">
        <v>0</v>
      </c>
      <c r="AN7" s="221"/>
      <c r="AO7" s="221"/>
      <c r="AP7" s="221"/>
      <c r="AQ7" s="221"/>
      <c r="AR7" s="221"/>
      <c r="AS7" s="221"/>
    </row>
    <row r="8" spans="1:45" s="24" customFormat="1" x14ac:dyDescent="0.2">
      <c r="A8" s="32"/>
      <c r="C8" s="255" t="s">
        <v>135</v>
      </c>
      <c r="D8" s="34">
        <f>VLOOKUP($A$1,LANDCOVER,5)</f>
        <v>0</v>
      </c>
      <c r="E8" s="35" t="e">
        <f t="shared" si="0"/>
        <v>#DIV/0!</v>
      </c>
      <c r="F8" s="247">
        <f t="shared" ref="F8:F12" ca="1" si="7">IF($D$3&lt;0.05*AA8,0,($D$3-AB8)^2/($D$3-AB8+AA8))</f>
        <v>0</v>
      </c>
      <c r="G8" s="256">
        <f t="shared" ref="G8:G12" ca="1" si="8">D8*F8*43560/12/1000</f>
        <v>0</v>
      </c>
      <c r="H8" s="248"/>
      <c r="J8" s="33" t="s">
        <v>135</v>
      </c>
      <c r="K8" s="34">
        <f>VLOOKUP($A$1,LANDCOVERPOT,5)</f>
        <v>0</v>
      </c>
      <c r="L8" s="37" t="e">
        <f t="shared" si="1"/>
        <v>#DIV/0!</v>
      </c>
      <c r="M8" s="270">
        <f t="shared" ca="1" si="4"/>
        <v>0</v>
      </c>
      <c r="N8" s="266" t="e">
        <f ca="1">(Q8*(AC8-AG8)+S8*(AC8-AG9))*43560/12/1000</f>
        <v>#DIV/0!</v>
      </c>
      <c r="P8" s="33" t="s">
        <v>135</v>
      </c>
      <c r="Q8" s="245">
        <f ca="1">R6</f>
        <v>0</v>
      </c>
      <c r="R8" s="245">
        <f ca="1">Q6*(1-Summary!L15)</f>
        <v>0</v>
      </c>
      <c r="S8" s="245">
        <f ca="1">T12</f>
        <v>0</v>
      </c>
      <c r="T8" s="245">
        <f ca="1">SUM(S12,S13)*(1-INDIRECT("Summary!l"&amp;(12+A1)))</f>
        <v>0</v>
      </c>
      <c r="U8" s="244"/>
      <c r="V8" s="315">
        <f ca="1">D8-Q8+R8-S8+T8+U8</f>
        <v>0</v>
      </c>
      <c r="X8" s="38">
        <v>3</v>
      </c>
      <c r="Y8" s="231" t="str">
        <f t="shared" si="2"/>
        <v>Pervious</v>
      </c>
      <c r="Z8" s="232">
        <f>IF(D8&lt;=0,Z6-CNadj,VLOOKUP($A$1,CompositeCN,$X8+1))</f>
        <v>61</v>
      </c>
      <c r="AA8" s="233">
        <f t="shared" si="5"/>
        <v>6.3934426229508183</v>
      </c>
      <c r="AB8" s="235">
        <f t="shared" ref="AB8:AB15" si="9">0.2*AA8</f>
        <v>1.2786885245901638</v>
      </c>
      <c r="AC8" s="253">
        <f t="shared" ca="1" si="6"/>
        <v>0</v>
      </c>
      <c r="AD8" s="252" t="e">
        <f ca="1">INDIRECT("LC_HSG_Data!CU"&amp;(5+A1))</f>
        <v>#DIV/0!</v>
      </c>
      <c r="AE8" s="252">
        <f ca="1">IFERROR(1000/AD8-10,0)</f>
        <v>0</v>
      </c>
      <c r="AF8" s="252">
        <f t="shared" ref="AF8:AF9" ca="1" si="10">0.2*AE8</f>
        <v>0</v>
      </c>
      <c r="AG8" s="252" t="e">
        <f ca="1">IF($D$3&lt;0.05*AE8,0,($D$3-AF8)^2/($D$3-AF8+AE8))</f>
        <v>#DIV/0!</v>
      </c>
      <c r="AH8" s="39"/>
      <c r="AI8" s="255" t="s">
        <v>135</v>
      </c>
      <c r="AJ8" s="290">
        <v>0</v>
      </c>
      <c r="AK8" s="290">
        <v>0</v>
      </c>
      <c r="AL8" s="290">
        <v>0</v>
      </c>
      <c r="AN8" s="221"/>
      <c r="AO8" s="221"/>
      <c r="AP8" s="221"/>
      <c r="AQ8" s="221"/>
      <c r="AR8" s="221"/>
      <c r="AS8" s="221"/>
    </row>
    <row r="9" spans="1:45" s="24" customFormat="1" x14ac:dyDescent="0.2">
      <c r="A9" s="32"/>
      <c r="C9" s="255" t="s">
        <v>136</v>
      </c>
      <c r="D9" s="34">
        <f>VLOOKUP($A$1,LANDCOVER,6)</f>
        <v>0</v>
      </c>
      <c r="E9" s="35" t="e">
        <f t="shared" si="0"/>
        <v>#DIV/0!</v>
      </c>
      <c r="F9" s="247" t="e">
        <f t="shared" ca="1" si="7"/>
        <v>#DIV/0!</v>
      </c>
      <c r="G9" s="256" t="e">
        <f t="shared" ca="1" si="8"/>
        <v>#DIV/0!</v>
      </c>
      <c r="H9" s="249"/>
      <c r="J9" s="33" t="s">
        <v>136</v>
      </c>
      <c r="K9" s="34">
        <f>VLOOKUP($A$1,LANDCOVERPOT,6)</f>
        <v>0</v>
      </c>
      <c r="L9" s="37" t="e">
        <f t="shared" si="1"/>
        <v>#DIV/0!</v>
      </c>
      <c r="M9" s="270" t="e">
        <f t="shared" ca="1" si="4"/>
        <v>#DIV/0!</v>
      </c>
      <c r="N9" s="249"/>
      <c r="P9" s="33" t="s">
        <v>136</v>
      </c>
      <c r="Q9" s="245"/>
      <c r="R9" s="245"/>
      <c r="S9" s="245"/>
      <c r="T9" s="245"/>
      <c r="U9" s="245"/>
      <c r="V9" s="315">
        <f>D9</f>
        <v>0</v>
      </c>
      <c r="X9" s="38">
        <v>4</v>
      </c>
      <c r="Y9" s="231" t="str">
        <f t="shared" si="2"/>
        <v>Water</v>
      </c>
      <c r="Z9" s="232">
        <f>IF(D9&lt;=0,TheModel!I31,VLOOKUP($A$1,CompositeCN,$X9+1))</f>
        <v>100</v>
      </c>
      <c r="AA9" s="233">
        <f t="shared" si="5"/>
        <v>0</v>
      </c>
      <c r="AB9" s="235">
        <f t="shared" si="9"/>
        <v>0</v>
      </c>
      <c r="AC9" s="253" t="e">
        <f t="shared" ca="1" si="6"/>
        <v>#DIV/0!</v>
      </c>
      <c r="AD9" s="252" t="e">
        <f ca="1">INDIRECT("LC_HSG_Data!CV"&amp;(5+A1))</f>
        <v>#DIV/0!</v>
      </c>
      <c r="AE9" s="252">
        <f ca="1">IFERROR(1000/AD9-10,0)</f>
        <v>0</v>
      </c>
      <c r="AF9" s="252">
        <f t="shared" ca="1" si="10"/>
        <v>0</v>
      </c>
      <c r="AG9" s="252" t="e">
        <f ca="1">IF($D$3&lt;0.05*AE9,0,($D$3-AF9)^2/($D$3-AF9+AE9))</f>
        <v>#DIV/0!</v>
      </c>
      <c r="AH9" s="39"/>
      <c r="AI9" s="255" t="s">
        <v>136</v>
      </c>
      <c r="AJ9" s="290">
        <v>0</v>
      </c>
      <c r="AK9" s="290">
        <v>0</v>
      </c>
      <c r="AL9" s="290">
        <v>0</v>
      </c>
      <c r="AN9" s="221"/>
      <c r="AO9" s="221"/>
      <c r="AP9" s="221"/>
      <c r="AQ9" s="221"/>
      <c r="AR9" s="221"/>
      <c r="AS9" s="221"/>
    </row>
    <row r="10" spans="1:45" s="24" customFormat="1" x14ac:dyDescent="0.2">
      <c r="A10" s="32"/>
      <c r="C10" s="255" t="s">
        <v>137</v>
      </c>
      <c r="D10" s="34">
        <f>VLOOKUP($A$1,LANDCOVER,7)</f>
        <v>0</v>
      </c>
      <c r="E10" s="35" t="e">
        <f t="shared" si="0"/>
        <v>#DIV/0!</v>
      </c>
      <c r="F10" s="247">
        <f t="shared" ca="1" si="7"/>
        <v>0</v>
      </c>
      <c r="G10" s="256">
        <f t="shared" ca="1" si="8"/>
        <v>0</v>
      </c>
      <c r="H10" s="249"/>
      <c r="J10" s="33" t="s">
        <v>137</v>
      </c>
      <c r="K10" s="34">
        <f>VLOOKUP($A$1,LANDCOVERPOT,7)</f>
        <v>0</v>
      </c>
      <c r="L10" s="37" t="e">
        <f t="shared" si="1"/>
        <v>#DIV/0!</v>
      </c>
      <c r="M10" s="270">
        <f t="shared" ca="1" si="4"/>
        <v>0</v>
      </c>
      <c r="N10" s="266">
        <f ca="1">Q10*(AC10-AC7)*43560/12/1000</f>
        <v>0</v>
      </c>
      <c r="P10" s="33" t="s">
        <v>137</v>
      </c>
      <c r="Q10" s="245">
        <f ca="1">R7</f>
        <v>0</v>
      </c>
      <c r="R10" s="245">
        <f ca="1">Q6*(Summary!L15)</f>
        <v>0</v>
      </c>
      <c r="S10" s="245"/>
      <c r="T10" s="245">
        <f ca="1">SUM(S12,S13)*INDIRECT("Summary!l"&amp;(12+A1))</f>
        <v>0</v>
      </c>
      <c r="U10" s="245"/>
      <c r="V10" s="315">
        <f ca="1">D10-Q10+R10+T10+U10</f>
        <v>0</v>
      </c>
      <c r="X10" s="38">
        <v>5</v>
      </c>
      <c r="Y10" s="231" t="str">
        <f t="shared" si="2"/>
        <v>Impervious</v>
      </c>
      <c r="Z10" s="232">
        <f>IF(D10&lt;=0,Z7-CNadj,VLOOKUP($A$1,CompositeCN,$X10+1))</f>
        <v>98</v>
      </c>
      <c r="AA10" s="233">
        <f t="shared" si="5"/>
        <v>0.20408163265306101</v>
      </c>
      <c r="AB10" s="235">
        <f t="shared" si="9"/>
        <v>4.0816326530612207E-2</v>
      </c>
      <c r="AC10" s="253">
        <f t="shared" ca="1" si="6"/>
        <v>0</v>
      </c>
      <c r="AD10" s="253"/>
      <c r="AE10" s="253"/>
      <c r="AF10" s="253"/>
      <c r="AG10" s="253"/>
      <c r="AH10" s="39"/>
      <c r="AI10" s="255" t="s">
        <v>137</v>
      </c>
      <c r="AJ10" s="290">
        <v>0</v>
      </c>
      <c r="AK10" s="290">
        <v>0</v>
      </c>
      <c r="AL10" s="290">
        <v>0</v>
      </c>
      <c r="AN10" s="221"/>
      <c r="AO10" s="221"/>
      <c r="AP10" s="221"/>
      <c r="AQ10" s="221"/>
      <c r="AR10" s="221"/>
      <c r="AS10" s="221"/>
    </row>
    <row r="11" spans="1:45" s="24" customFormat="1" x14ac:dyDescent="0.2">
      <c r="A11" s="32"/>
      <c r="C11" s="255" t="s">
        <v>138</v>
      </c>
      <c r="D11" s="34">
        <f>VLOOKUP($A$1,LANDCOVER,8)</f>
        <v>0</v>
      </c>
      <c r="E11" s="35" t="e">
        <f t="shared" si="0"/>
        <v>#DIV/0!</v>
      </c>
      <c r="F11" s="247">
        <f t="shared" ca="1" si="7"/>
        <v>0</v>
      </c>
      <c r="G11" s="256">
        <f t="shared" ca="1" si="8"/>
        <v>0</v>
      </c>
      <c r="H11" s="249"/>
      <c r="J11" s="33" t="s">
        <v>138</v>
      </c>
      <c r="K11" s="34">
        <f>VLOOKUP($A$1,LANDCOVERPOT,8)</f>
        <v>0</v>
      </c>
      <c r="L11" s="37" t="e">
        <f t="shared" si="1"/>
        <v>#DIV/0!</v>
      </c>
      <c r="M11" s="270">
        <f t="shared" ca="1" si="4"/>
        <v>0</v>
      </c>
      <c r="N11" s="249"/>
      <c r="P11" s="33" t="s">
        <v>138</v>
      </c>
      <c r="Q11" s="245"/>
      <c r="R11" s="245"/>
      <c r="S11" s="245"/>
      <c r="T11" s="245"/>
      <c r="U11" s="245"/>
      <c r="V11" s="315">
        <f>D11</f>
        <v>0</v>
      </c>
      <c r="X11" s="38">
        <v>6</v>
      </c>
      <c r="Y11" s="231" t="str">
        <f t="shared" si="2"/>
        <v>Bare Earth</v>
      </c>
      <c r="Z11" s="232">
        <f>IF(D11&lt;=0,TheModel!I33,VLOOKUP($A$1,CompositeCN,$X11+1))</f>
        <v>86</v>
      </c>
      <c r="AA11" s="233">
        <f t="shared" si="5"/>
        <v>1.6279069767441854</v>
      </c>
      <c r="AB11" s="235">
        <f t="shared" si="9"/>
        <v>0.32558139534883712</v>
      </c>
      <c r="AC11" s="253">
        <f t="shared" ca="1" si="6"/>
        <v>0</v>
      </c>
      <c r="AD11" s="253"/>
      <c r="AE11" s="253"/>
      <c r="AF11" s="253"/>
      <c r="AG11" s="253"/>
      <c r="AH11" s="39"/>
      <c r="AI11" s="255" t="s">
        <v>138</v>
      </c>
      <c r="AJ11" s="290">
        <v>0</v>
      </c>
      <c r="AK11" s="290">
        <v>0</v>
      </c>
      <c r="AL11" s="290">
        <v>0</v>
      </c>
      <c r="AN11" s="221"/>
      <c r="AO11" s="221"/>
      <c r="AP11" s="221"/>
      <c r="AQ11" s="221"/>
      <c r="AR11" s="221"/>
      <c r="AS11" s="221"/>
    </row>
    <row r="12" spans="1:45" s="24" customFormat="1" x14ac:dyDescent="0.2">
      <c r="A12" s="32"/>
      <c r="C12" s="255" t="s">
        <v>139</v>
      </c>
      <c r="D12" s="34">
        <f>VLOOKUP($A$1,LANDCOVER,9)</f>
        <v>0</v>
      </c>
      <c r="E12" s="35" t="e">
        <f t="shared" si="0"/>
        <v>#DIV/0!</v>
      </c>
      <c r="F12" s="247">
        <f t="shared" ca="1" si="7"/>
        <v>0</v>
      </c>
      <c r="G12" s="256">
        <f t="shared" ca="1" si="8"/>
        <v>0</v>
      </c>
      <c r="H12" s="266">
        <f ca="1">IFERROR(($AG12/$AC12-1)*G12,0)</f>
        <v>0</v>
      </c>
      <c r="J12" s="33" t="s">
        <v>139</v>
      </c>
      <c r="K12" s="34">
        <f>VLOOKUP($A$1,LANDCOVERPOT,9)</f>
        <v>0</v>
      </c>
      <c r="L12" s="37" t="e">
        <f t="shared" si="1"/>
        <v>#DIV/0!</v>
      </c>
      <c r="M12" s="270">
        <f t="shared" ca="1" si="4"/>
        <v>0</v>
      </c>
      <c r="N12" s="250"/>
      <c r="P12" s="33" t="s">
        <v>139</v>
      </c>
      <c r="Q12" s="245"/>
      <c r="R12" s="245"/>
      <c r="S12" s="245">
        <f ca="1">D12*INDIRECT("Summary!k"&amp;(12+A1))</f>
        <v>0</v>
      </c>
      <c r="T12" s="245">
        <f ca="1">(K12-D12)*INDIRECT("Summary!p"&amp;(12+A1))</f>
        <v>0</v>
      </c>
      <c r="U12" s="245"/>
      <c r="V12" s="315">
        <f ca="1">D12-S12+T12</f>
        <v>0</v>
      </c>
      <c r="X12" s="38">
        <v>7</v>
      </c>
      <c r="Y12" s="231" t="str">
        <f t="shared" si="2"/>
        <v>Forested Open Space</v>
      </c>
      <c r="Z12" s="232">
        <f>IF(D12&lt;=0,TheModel!I34,VLOOKUP($A$1,CompositeCN,$X12+1))</f>
        <v>55</v>
      </c>
      <c r="AA12" s="233">
        <f t="shared" si="5"/>
        <v>8.1818181818181834</v>
      </c>
      <c r="AB12" s="235">
        <f t="shared" si="9"/>
        <v>1.6363636363636367</v>
      </c>
      <c r="AC12" s="253">
        <f t="shared" ca="1" si="6"/>
        <v>0</v>
      </c>
      <c r="AD12" s="252" t="e">
        <f ca="1">INDIRECT("LC_HSG_Data!CT"&amp;(5+A1))</f>
        <v>#DIV/0!</v>
      </c>
      <c r="AE12" s="252">
        <f ca="1">IFERROR(1000/AD12-10,0)</f>
        <v>0</v>
      </c>
      <c r="AF12" s="252">
        <f t="shared" ref="AF12:AF14" ca="1" si="11">0.2*AE12</f>
        <v>0</v>
      </c>
      <c r="AG12" s="252" t="e">
        <f ca="1">IF($D$3&lt;0.05*AE12,0,($D$3-AF12)^2/($D$3-AF12+AE12))</f>
        <v>#DIV/0!</v>
      </c>
      <c r="AH12" s="39"/>
      <c r="AI12" s="255" t="s">
        <v>139</v>
      </c>
      <c r="AJ12" s="291">
        <v>0</v>
      </c>
      <c r="AK12" s="291">
        <v>0</v>
      </c>
      <c r="AL12" s="291">
        <v>0</v>
      </c>
      <c r="AN12" s="221"/>
      <c r="AO12" s="221"/>
      <c r="AP12" s="221"/>
      <c r="AQ12" s="221"/>
      <c r="AR12" s="221"/>
      <c r="AS12" s="221"/>
    </row>
    <row r="13" spans="1:45" s="24" customFormat="1" x14ac:dyDescent="0.2">
      <c r="A13" s="32"/>
      <c r="C13" s="255" t="s">
        <v>140</v>
      </c>
      <c r="D13" s="34">
        <f>VLOOKUP($A$1,LANDCOVER,10)</f>
        <v>0</v>
      </c>
      <c r="E13" s="35" t="e">
        <f t="shared" si="0"/>
        <v>#DIV/0!</v>
      </c>
      <c r="F13" s="247">
        <f ca="1">IF($D$3&lt;0.05*AA13,0,($D$3-AB13)^2/($D$3-AB13+AA13))</f>
        <v>0</v>
      </c>
      <c r="G13" s="256">
        <f ca="1">D13*F13*43560/12/1000</f>
        <v>0</v>
      </c>
      <c r="H13" s="266">
        <f ca="1">IFERROR(($AG13/$AC13-1)*G13,0)</f>
        <v>0</v>
      </c>
      <c r="J13" s="33" t="s">
        <v>140</v>
      </c>
      <c r="K13" s="34">
        <f>VLOOKUP($A$1,LANDCOVERPOT,10)</f>
        <v>0</v>
      </c>
      <c r="L13" s="37" t="e">
        <f t="shared" si="1"/>
        <v>#DIV/0!</v>
      </c>
      <c r="M13" s="270">
        <f t="shared" ca="1" si="4"/>
        <v>0</v>
      </c>
      <c r="N13" s="250"/>
      <c r="P13" s="33" t="s">
        <v>140</v>
      </c>
      <c r="Q13" s="245"/>
      <c r="R13" s="245"/>
      <c r="S13" s="245">
        <f ca="1">D13*INDIRECT("Summary!k"&amp;(12+A1))</f>
        <v>0</v>
      </c>
      <c r="T13" s="245"/>
      <c r="U13" s="245"/>
      <c r="V13" s="315">
        <f ca="1">D13-S13</f>
        <v>0</v>
      </c>
      <c r="X13" s="38">
        <v>8</v>
      </c>
      <c r="Y13" s="231" t="str">
        <f t="shared" si="2"/>
        <v>Forested Wetlands</v>
      </c>
      <c r="Z13" s="232">
        <f>IF(D13&lt;=0,TheModel!I35,VLOOKUP($A$1,CompositeCN,$X13+1))</f>
        <v>77</v>
      </c>
      <c r="AA13" s="233">
        <f t="shared" si="5"/>
        <v>2.9870129870129869</v>
      </c>
      <c r="AB13" s="235">
        <f t="shared" si="9"/>
        <v>0.59740259740259738</v>
      </c>
      <c r="AC13" s="253">
        <f ca="1">IF($D$3&lt;0.05*AA13,0,($D$3-AB13)^2/($D$3-AB13+AA13))</f>
        <v>0</v>
      </c>
      <c r="AD13" s="252">
        <f>Z14</f>
        <v>100</v>
      </c>
      <c r="AE13" s="252">
        <f>IFERROR(1000/AD13-10,0)</f>
        <v>0</v>
      </c>
      <c r="AF13" s="252">
        <f t="shared" si="11"/>
        <v>0</v>
      </c>
      <c r="AG13" s="252" t="e">
        <f ca="1">IF($D$3&lt;0.05*AE13,0,($D$3-AF13)^2/($D$3-AF13+AE13))</f>
        <v>#DIV/0!</v>
      </c>
      <c r="AH13" s="39"/>
      <c r="AI13" s="255" t="s">
        <v>140</v>
      </c>
      <c r="AJ13" s="291">
        <v>0</v>
      </c>
      <c r="AK13" s="291">
        <v>0</v>
      </c>
      <c r="AL13" s="291">
        <v>0</v>
      </c>
      <c r="AN13" s="221"/>
      <c r="AO13" s="221"/>
      <c r="AP13" s="221"/>
      <c r="AQ13" s="221"/>
      <c r="AR13" s="221"/>
      <c r="AS13" s="221"/>
    </row>
    <row r="14" spans="1:45" s="24" customFormat="1" x14ac:dyDescent="0.2">
      <c r="A14" s="32"/>
      <c r="C14" s="255" t="s">
        <v>141</v>
      </c>
      <c r="D14" s="34">
        <f>VLOOKUP($A$1,LANDCOVER,11)</f>
        <v>0</v>
      </c>
      <c r="E14" s="35" t="e">
        <f t="shared" si="0"/>
        <v>#DIV/0!</v>
      </c>
      <c r="F14" s="247" t="e">
        <f ca="1">IF($D$3&lt;0.05*AA14,0,($D$3-AB14)^2/($D$3-AB14+AA14))</f>
        <v>#DIV/0!</v>
      </c>
      <c r="G14" s="256" t="e">
        <f t="shared" ref="G14" ca="1" si="12">D14*$F14*43560/12/1000</f>
        <v>#DIV/0!</v>
      </c>
      <c r="H14" s="250"/>
      <c r="J14" s="33" t="s">
        <v>141</v>
      </c>
      <c r="K14" s="34">
        <f>VLOOKUP($A$1,LANDCOVERPOT,11)</f>
        <v>0</v>
      </c>
      <c r="L14" s="37" t="e">
        <f t="shared" si="1"/>
        <v>#DIV/0!</v>
      </c>
      <c r="M14" s="270" t="e">
        <f t="shared" ca="1" si="4"/>
        <v>#DIV/0!</v>
      </c>
      <c r="N14" s="250"/>
      <c r="P14" s="33" t="s">
        <v>141</v>
      </c>
      <c r="Q14" s="245"/>
      <c r="R14" s="245"/>
      <c r="S14" s="245"/>
      <c r="T14" s="245"/>
      <c r="U14" s="245"/>
      <c r="V14" s="315">
        <f>D14</f>
        <v>0</v>
      </c>
      <c r="X14" s="38">
        <v>9</v>
      </c>
      <c r="Y14" s="231" t="str">
        <f t="shared" si="2"/>
        <v>Wetlands</v>
      </c>
      <c r="Z14" s="232">
        <f>IF(D14&lt;=0,TheModel!I36,VLOOKUP($A$1,CompositeCN,$X14+1))</f>
        <v>100</v>
      </c>
      <c r="AA14" s="233">
        <f t="shared" si="5"/>
        <v>0</v>
      </c>
      <c r="AB14" s="235">
        <f t="shared" si="9"/>
        <v>0</v>
      </c>
      <c r="AC14" s="253" t="e">
        <f t="shared" ca="1" si="6"/>
        <v>#DIV/0!</v>
      </c>
      <c r="AD14" s="252">
        <v>80</v>
      </c>
      <c r="AE14" s="252">
        <f>IFERROR(1000/AD14-10,0)</f>
        <v>2.5</v>
      </c>
      <c r="AF14" s="252">
        <f t="shared" si="11"/>
        <v>0.5</v>
      </c>
      <c r="AG14" s="252">
        <f ca="1">IF($D$3&lt;0.05*AE14,0,($D$3-AF14)^2/($D$3-AF14+AE14))</f>
        <v>0</v>
      </c>
      <c r="AH14" s="39"/>
      <c r="AI14" s="255" t="s">
        <v>141</v>
      </c>
      <c r="AJ14" s="290">
        <v>0</v>
      </c>
      <c r="AK14" s="290">
        <v>0</v>
      </c>
      <c r="AL14" s="290">
        <v>0</v>
      </c>
      <c r="AN14" s="221"/>
      <c r="AO14" s="221"/>
      <c r="AP14" s="221"/>
      <c r="AQ14" s="221"/>
      <c r="AR14" s="221"/>
      <c r="AS14" s="221"/>
    </row>
    <row r="15" spans="1:45" x14ac:dyDescent="0.25">
      <c r="A15" s="32"/>
      <c r="B15" s="24"/>
      <c r="C15" s="255" t="s">
        <v>142</v>
      </c>
      <c r="D15" s="34">
        <f>VLOOKUP($A$1,LANDCOVER,12)</f>
        <v>0</v>
      </c>
      <c r="E15" s="35" t="e">
        <f t="shared" si="0"/>
        <v>#DIV/0!</v>
      </c>
      <c r="F15" s="247">
        <f ca="1">IF($D$3&lt;0.05*AA15,0,($D$3-AB15)^2/($D$3-AB15+AA15))</f>
        <v>0</v>
      </c>
      <c r="G15" s="256">
        <f ca="1">D15*$F15*43560/12/1000</f>
        <v>0</v>
      </c>
      <c r="H15" s="250"/>
      <c r="I15" s="24"/>
      <c r="J15" s="33" t="s">
        <v>142</v>
      </c>
      <c r="K15" s="34">
        <f>VLOOKUP($A$1,LANDCOVERPOT,12)</f>
        <v>0</v>
      </c>
      <c r="L15" s="37" t="e">
        <f t="shared" si="1"/>
        <v>#DIV/0!</v>
      </c>
      <c r="M15" s="270">
        <f t="shared" ca="1" si="4"/>
        <v>0</v>
      </c>
      <c r="N15" s="250"/>
      <c r="O15" s="24"/>
      <c r="P15" s="33" t="s">
        <v>142</v>
      </c>
      <c r="Q15" s="245"/>
      <c r="R15" s="245"/>
      <c r="S15" s="245"/>
      <c r="T15" s="245"/>
      <c r="U15" s="245"/>
      <c r="V15" s="315">
        <f>D15</f>
        <v>0</v>
      </c>
      <c r="W15" s="24"/>
      <c r="X15" s="38">
        <v>10</v>
      </c>
      <c r="Y15" s="231" t="str">
        <f t="shared" si="2"/>
        <v>Scrub/Shrub/Palm</v>
      </c>
      <c r="Z15" s="232">
        <f>IF(D15&lt;=0,TheModel!I37,VLOOKUP($A$1,CompositeCN,$X15+1))</f>
        <v>60</v>
      </c>
      <c r="AA15" s="233">
        <f t="shared" si="5"/>
        <v>6.6666666666666679</v>
      </c>
      <c r="AB15" s="233">
        <f t="shared" si="9"/>
        <v>1.3333333333333337</v>
      </c>
      <c r="AC15" s="236">
        <f ca="1">IF($D$3&lt;0.05*AA15,0,($D$3-AB15)^2/($D$3-A15+AA15))</f>
        <v>0</v>
      </c>
      <c r="AD15" s="236"/>
      <c r="AE15" s="236"/>
      <c r="AF15" s="236"/>
      <c r="AG15" s="236"/>
      <c r="AH15" s="43"/>
      <c r="AI15" s="292" t="s">
        <v>142</v>
      </c>
      <c r="AJ15" s="293">
        <v>0</v>
      </c>
      <c r="AK15" s="293">
        <v>0</v>
      </c>
      <c r="AL15" s="293">
        <v>0</v>
      </c>
      <c r="AN15" s="271"/>
      <c r="AO15" s="271"/>
      <c r="AP15" s="271"/>
      <c r="AQ15" s="271"/>
      <c r="AR15" s="271"/>
      <c r="AS15" s="271"/>
    </row>
    <row r="16" spans="1:45" x14ac:dyDescent="0.25">
      <c r="C16" s="40" t="s">
        <v>143</v>
      </c>
      <c r="D16" s="41">
        <f>SUM(D6:D15)</f>
        <v>0</v>
      </c>
      <c r="E16" s="42"/>
      <c r="F16" s="42"/>
      <c r="G16" s="41" t="e">
        <f ca="1">SUM(G6:G15)</f>
        <v>#DIV/0!</v>
      </c>
      <c r="H16" s="41">
        <f ca="1">SUM(H6:H15)</f>
        <v>0</v>
      </c>
      <c r="J16" s="40" t="s">
        <v>143</v>
      </c>
      <c r="K16" s="41">
        <f>SUM(K6:K15)</f>
        <v>0</v>
      </c>
      <c r="L16" s="41"/>
      <c r="M16" s="41" t="e">
        <f ca="1">SUM(M6:M15)</f>
        <v>#DIV/0!</v>
      </c>
      <c r="N16" s="227" t="e">
        <f ca="1">SUM(N6:N15)</f>
        <v>#DIV/0!</v>
      </c>
      <c r="P16" s="40" t="s">
        <v>143</v>
      </c>
      <c r="Q16" s="246">
        <f ca="1">SUM(Q6:Q15)</f>
        <v>0</v>
      </c>
      <c r="R16" s="246">
        <f ca="1">SUM(R6:R15)</f>
        <v>0</v>
      </c>
      <c r="S16" s="246">
        <f t="shared" ref="S16:T16" ca="1" si="13">SUM(S6:S15)</f>
        <v>0</v>
      </c>
      <c r="T16" s="246">
        <f t="shared" ca="1" si="13"/>
        <v>0</v>
      </c>
      <c r="U16" s="246">
        <f ca="1">D16-V16</f>
        <v>0</v>
      </c>
      <c r="V16" s="316">
        <f ca="1">SUM(V6:V15)</f>
        <v>0</v>
      </c>
      <c r="Y16" s="393" t="s">
        <v>144</v>
      </c>
      <c r="Z16" s="393"/>
      <c r="AA16" s="393"/>
      <c r="AB16" s="393"/>
      <c r="AC16" s="393"/>
      <c r="AD16" s="393"/>
      <c r="AE16" s="393"/>
      <c r="AF16" s="43"/>
      <c r="AG16" s="43"/>
      <c r="AH16" s="43"/>
      <c r="AI16" s="294" t="s">
        <v>145</v>
      </c>
      <c r="AJ16" s="295">
        <f>SUM(AJ6:AJ15)</f>
        <v>0</v>
      </c>
      <c r="AK16" s="295">
        <f t="shared" ref="AK16:AL16" si="14">SUM(AK6:AK15)</f>
        <v>0</v>
      </c>
      <c r="AL16" s="296">
        <f t="shared" si="14"/>
        <v>0</v>
      </c>
    </row>
    <row r="17" spans="1:38" ht="15.75" customHeight="1" x14ac:dyDescent="0.25">
      <c r="C17" s="44"/>
      <c r="D17" s="45"/>
      <c r="E17" s="46"/>
      <c r="F17" s="46"/>
      <c r="G17" s="45"/>
      <c r="J17" s="44"/>
      <c r="K17" s="45"/>
      <c r="L17" s="45"/>
      <c r="M17" s="45"/>
      <c r="N17" s="47"/>
      <c r="Z17" s="394" t="s">
        <v>146</v>
      </c>
      <c r="AA17" s="394"/>
      <c r="AB17" s="394"/>
      <c r="AC17" s="394"/>
      <c r="AD17" s="394"/>
      <c r="AE17" s="394"/>
      <c r="AF17" s="43"/>
      <c r="AG17" s="43"/>
      <c r="AH17" s="43"/>
      <c r="AI17" s="297" t="s">
        <v>147</v>
      </c>
      <c r="AJ17" s="298">
        <f t="array" ref="AJ17:AL17">SUM(D6,D8,D12)*pervious+SUM(D7,D10)*impervious+D11*bare+SUM(D13,D14)*wetland-AJ16:AL16</f>
        <v>0</v>
      </c>
      <c r="AK17" s="298">
        <v>0</v>
      </c>
      <c r="AL17" s="299">
        <v>0</v>
      </c>
    </row>
    <row r="18" spans="1:38" ht="15" customHeight="1" x14ac:dyDescent="0.25">
      <c r="C18" s="378" t="s">
        <v>148</v>
      </c>
      <c r="D18" s="362"/>
      <c r="E18" s="362"/>
      <c r="F18" s="362"/>
      <c r="G18" s="362"/>
      <c r="H18" s="379"/>
      <c r="J18" s="380" t="s">
        <v>148</v>
      </c>
      <c r="K18" s="380"/>
      <c r="L18" s="380"/>
      <c r="M18" s="380"/>
      <c r="N18" s="380"/>
      <c r="U18" s="117"/>
      <c r="V18" s="117"/>
      <c r="Y18" s="218" t="s">
        <v>149</v>
      </c>
      <c r="Z18" s="237" t="s">
        <v>150</v>
      </c>
      <c r="AA18" s="238" t="s">
        <v>151</v>
      </c>
      <c r="AB18" s="239" t="s">
        <v>152</v>
      </c>
      <c r="AC18" s="237" t="s">
        <v>150</v>
      </c>
      <c r="AD18" s="238" t="s">
        <v>151</v>
      </c>
      <c r="AE18" s="239" t="s">
        <v>152</v>
      </c>
      <c r="AF18" s="43"/>
      <c r="AG18" s="43"/>
      <c r="AI18" s="297" t="s">
        <v>153</v>
      </c>
      <c r="AJ18" s="300" t="e">
        <f>AJ17/SUM(ABS(AJ17),AJ16)*100</f>
        <v>#DIV/0!</v>
      </c>
      <c r="AK18" s="300" t="e">
        <f>AK17/SUM(ABS(AK17),AK16)*100</f>
        <v>#DIV/0!</v>
      </c>
      <c r="AL18" s="301" t="e">
        <f>AL17/SUM(ABS(AL17),AL16)*100</f>
        <v>#DIV/0!</v>
      </c>
    </row>
    <row r="19" spans="1:38" s="24" customFormat="1" ht="15.75" customHeight="1" x14ac:dyDescent="0.25">
      <c r="A19"/>
      <c r="B19"/>
      <c r="C19" s="204" t="s">
        <v>154</v>
      </c>
      <c r="D19" s="204"/>
      <c r="E19" s="206"/>
      <c r="F19" s="396" t="s">
        <v>155</v>
      </c>
      <c r="G19" s="396"/>
      <c r="H19" s="207" t="e">
        <f>D36/D35</f>
        <v>#DIV/0!</v>
      </c>
      <c r="I19"/>
      <c r="J19" s="204" t="s">
        <v>154</v>
      </c>
      <c r="K19" s="204"/>
      <c r="L19" s="204"/>
      <c r="M19" s="213" t="s">
        <v>156</v>
      </c>
      <c r="N19" s="207" t="e">
        <f>D37/D35</f>
        <v>#DIV/0!</v>
      </c>
      <c r="O19"/>
      <c r="P19"/>
      <c r="Q19"/>
      <c r="R19"/>
      <c r="S19"/>
      <c r="T19"/>
      <c r="U19"/>
      <c r="V19"/>
      <c r="W19"/>
      <c r="X19"/>
      <c r="Y19" s="176" t="s">
        <v>133</v>
      </c>
      <c r="Z19" s="273" t="e">
        <f ca="1">AG6-AC6</f>
        <v>#DIV/0!</v>
      </c>
      <c r="AA19" s="274">
        <f ca="1">AC10-AC6</f>
        <v>0</v>
      </c>
      <c r="AB19" s="275"/>
      <c r="AC19" s="273" t="e">
        <f ca="1">Z19*(D6*E24)*(1-E25)*LossCF</f>
        <v>#DIV/0!</v>
      </c>
      <c r="AD19" s="276">
        <f ca="1">AA19*(E24*D6)*(E25)*LossCF</f>
        <v>0</v>
      </c>
      <c r="AE19" s="277"/>
      <c r="AF19"/>
      <c r="AG19"/>
      <c r="AI19" s="297"/>
      <c r="AJ19" s="298"/>
      <c r="AK19" s="298"/>
      <c r="AL19" s="299"/>
    </row>
    <row r="20" spans="1:38" s="24" customFormat="1" ht="15.75" customHeight="1" x14ac:dyDescent="0.25">
      <c r="A20" s="48"/>
      <c r="C20" s="208" t="s">
        <v>157</v>
      </c>
      <c r="D20" s="208"/>
      <c r="E20" s="208"/>
      <c r="F20" s="397" t="s">
        <v>155</v>
      </c>
      <c r="G20" s="397"/>
      <c r="H20" s="207">
        <f>IFERROR(D10/D35,0)</f>
        <v>0</v>
      </c>
      <c r="J20" s="208" t="s">
        <v>157</v>
      </c>
      <c r="K20" s="208"/>
      <c r="L20" s="208"/>
      <c r="M20" s="214" t="s">
        <v>158</v>
      </c>
      <c r="N20" s="207" t="e">
        <f>K10/SUM(K16,-K9)</f>
        <v>#DIV/0!</v>
      </c>
      <c r="Y20" s="177" t="s">
        <v>134</v>
      </c>
      <c r="Z20" s="262"/>
      <c r="AA20" s="260">
        <f ca="1">AC10-AC7</f>
        <v>0</v>
      </c>
      <c r="AB20" s="261"/>
      <c r="AC20" s="262"/>
      <c r="AD20" s="260">
        <f ca="1">AA20*D7*E24*LossCF</f>
        <v>0</v>
      </c>
      <c r="AE20" s="261"/>
      <c r="AI20" s="297" t="s">
        <v>159</v>
      </c>
      <c r="AJ20" s="298">
        <f t="array" ref="AJ20">SUM(K6:K15*nloads)</f>
        <v>0</v>
      </c>
      <c r="AK20" s="298">
        <f t="array" ref="AK20">SUM(K6:K15*ploads)</f>
        <v>0</v>
      </c>
      <c r="AL20" s="299">
        <f t="array" ref="AL20">SUM(K6:K15*sedloads)</f>
        <v>0</v>
      </c>
    </row>
    <row r="21" spans="1:38" s="24" customFormat="1" ht="15.75" customHeight="1" x14ac:dyDescent="0.25">
      <c r="A21" s="48"/>
      <c r="C21" s="209" t="s">
        <v>160</v>
      </c>
      <c r="D21" s="209"/>
      <c r="E21" s="210"/>
      <c r="F21" s="398" t="str">
        <f ca="1">C3</f>
        <v>1 yr / 24 hour      </v>
      </c>
      <c r="G21" s="398"/>
      <c r="H21" s="211" t="e">
        <f ca="1">H16/G16</f>
        <v>#DIV/0!</v>
      </c>
      <c r="J21" s="209" t="s">
        <v>161</v>
      </c>
      <c r="K21" s="209"/>
      <c r="L21" s="210"/>
      <c r="M21" s="215" t="s">
        <v>156</v>
      </c>
      <c r="N21" s="229" t="e">
        <f ca="1">N22/H22</f>
        <v>#DIV/0!</v>
      </c>
      <c r="Y21" s="177" t="s">
        <v>139</v>
      </c>
      <c r="Z21" s="278" t="e">
        <f ca="1">AG12-AC12</f>
        <v>#DIV/0!</v>
      </c>
      <c r="AA21" s="263">
        <f ca="1">AC10-AC12</f>
        <v>0</v>
      </c>
      <c r="AB21" s="264"/>
      <c r="AC21" s="265" t="e">
        <f ca="1">Z21*D12*E27*(1-E28)*LossCF</f>
        <v>#DIV/0!</v>
      </c>
      <c r="AD21" s="260">
        <f ca="1">AA21*D12*E27*E28*LossCF</f>
        <v>0</v>
      </c>
      <c r="AE21" s="261"/>
      <c r="AI21" s="297" t="s">
        <v>162</v>
      </c>
      <c r="AJ21" s="298">
        <f t="array" ref="AJ21:AL21">AJ16:AL16-AJ20:AL20</f>
        <v>0</v>
      </c>
      <c r="AK21" s="298">
        <v>0</v>
      </c>
      <c r="AL21" s="299">
        <v>0</v>
      </c>
    </row>
    <row r="22" spans="1:38" s="24" customFormat="1" ht="15.75" customHeight="1" x14ac:dyDescent="0.25">
      <c r="A22" s="48"/>
      <c r="C22" s="386" t="s">
        <v>163</v>
      </c>
      <c r="D22" s="386"/>
      <c r="E22" s="210"/>
      <c r="F22" s="398" t="str">
        <f ca="1">C3</f>
        <v>1 yr / 24 hour      </v>
      </c>
      <c r="G22" s="398"/>
      <c r="H22" s="212">
        <f ca="1">H16*7.48052/1000</f>
        <v>0</v>
      </c>
      <c r="J22" s="386" t="s">
        <v>164</v>
      </c>
      <c r="K22" s="386"/>
      <c r="L22" s="216" t="s">
        <v>156</v>
      </c>
      <c r="M22" s="228" t="s">
        <v>156</v>
      </c>
      <c r="N22" s="267" t="e">
        <f ca="1">N16*7.48052/1000</f>
        <v>#DIV/0!</v>
      </c>
      <c r="O22" s="49"/>
      <c r="P22" s="49"/>
      <c r="Q22" s="49"/>
      <c r="R22" s="49"/>
      <c r="S22" s="49"/>
      <c r="T22" s="49"/>
      <c r="U22" s="49"/>
      <c r="V22" s="49"/>
      <c r="W22" s="49"/>
      <c r="Y22" s="177" t="s">
        <v>140</v>
      </c>
      <c r="Z22" s="279">
        <f ca="1">AG14-AC13</f>
        <v>0</v>
      </c>
      <c r="AA22" s="280">
        <f ca="1">AC10-AC13</f>
        <v>0</v>
      </c>
      <c r="AB22" s="281"/>
      <c r="AC22" s="279">
        <f ca="1">Z22*D13*E27*(1-E28)*LossCF</f>
        <v>0</v>
      </c>
      <c r="AD22" s="282">
        <f ca="1">AA22*D13*E27*E28*LossCF</f>
        <v>0</v>
      </c>
      <c r="AE22" s="283"/>
      <c r="AI22" s="297" t="s">
        <v>165</v>
      </c>
      <c r="AJ22" s="300" t="e">
        <f>AJ21/AJ16*100</f>
        <v>#DIV/0!</v>
      </c>
      <c r="AK22" s="300" t="e">
        <f>AK21/AK16*100</f>
        <v>#DIV/0!</v>
      </c>
      <c r="AL22" s="301" t="e">
        <f>AL21/AL16*100</f>
        <v>#DIV/0!</v>
      </c>
    </row>
    <row r="23" spans="1:38" s="24" customFormat="1" ht="15.75" customHeight="1" x14ac:dyDescent="0.25">
      <c r="A23" s="48"/>
      <c r="C23" s="399" t="s">
        <v>166</v>
      </c>
      <c r="D23" s="399"/>
      <c r="E23" s="399"/>
      <c r="F23" s="399"/>
      <c r="G23" s="399"/>
      <c r="H23" s="399"/>
      <c r="J23" s="51"/>
      <c r="K23" s="51"/>
      <c r="L23" s="52"/>
      <c r="M23" s="53"/>
      <c r="N23" s="54"/>
      <c r="O23" s="49"/>
      <c r="P23" s="49"/>
      <c r="Q23" s="49"/>
      <c r="R23" s="49"/>
      <c r="S23" s="49"/>
      <c r="T23" s="49"/>
      <c r="U23" s="49"/>
      <c r="V23" s="49"/>
      <c r="W23" s="49"/>
      <c r="Y23" s="50">
        <f>43560/12/1000*7.48052/1000</f>
        <v>2.71542876E-2</v>
      </c>
      <c r="Z23" s="400" t="s">
        <v>167</v>
      </c>
      <c r="AA23" s="401"/>
      <c r="AB23" s="401"/>
      <c r="AC23" s="400" t="s">
        <v>64</v>
      </c>
      <c r="AD23" s="401"/>
      <c r="AE23" s="402"/>
      <c r="AI23" s="302"/>
      <c r="AL23" s="303"/>
    </row>
    <row r="24" spans="1:38" s="24" customFormat="1" ht="15.75" customHeight="1" x14ac:dyDescent="0.25">
      <c r="A24" s="48"/>
      <c r="C24" s="403" t="s">
        <v>168</v>
      </c>
      <c r="D24" s="403"/>
      <c r="E24" s="193">
        <f ca="1">INDIRECT("Summary!j"&amp;(12+A1))</f>
        <v>0</v>
      </c>
      <c r="F24" s="404" t="s">
        <v>169</v>
      </c>
      <c r="G24" s="404"/>
      <c r="H24" s="404"/>
      <c r="J24" s="405" t="s">
        <v>170</v>
      </c>
      <c r="K24" s="405"/>
      <c r="L24" s="405"/>
      <c r="M24" s="405"/>
      <c r="N24" s="203" t="str">
        <f ca="1">INDIRECT("Summary!h"&amp;(12+A1))</f>
        <v/>
      </c>
      <c r="O24" s="49"/>
      <c r="P24" s="49"/>
      <c r="Q24" s="49"/>
      <c r="R24" s="49"/>
      <c r="S24" s="49"/>
      <c r="T24" s="49"/>
      <c r="U24" s="49"/>
      <c r="V24" s="49"/>
      <c r="W24" s="49"/>
      <c r="Y24" s="330" t="s">
        <v>171</v>
      </c>
      <c r="AI24" s="304" t="s">
        <v>172</v>
      </c>
      <c r="AJ24" s="305">
        <f t="array" aca="1" ref="AJ24" ca="1">SUMPRODUCT(V6:V15,nloads)</f>
        <v>0</v>
      </c>
      <c r="AK24" s="305">
        <f ca="1">SUMPRODUCT(V6:V15,ploads)</f>
        <v>0</v>
      </c>
      <c r="AL24" s="306">
        <f ca="1">SUMPRODUCT(V6:V15,sedloads)</f>
        <v>0</v>
      </c>
    </row>
    <row r="25" spans="1:38" s="24" customFormat="1" ht="15.75" customHeight="1" x14ac:dyDescent="0.25">
      <c r="A25" s="48"/>
      <c r="C25" s="403"/>
      <c r="D25" s="403"/>
      <c r="E25" s="193">
        <f ca="1">INDIRECT("Summary!L"&amp;(12+A1))</f>
        <v>0</v>
      </c>
      <c r="F25" s="404" t="s">
        <v>173</v>
      </c>
      <c r="G25" s="404"/>
      <c r="H25" s="404"/>
      <c r="J25" s="204" t="s">
        <v>174</v>
      </c>
      <c r="K25" s="406" t="s">
        <v>64</v>
      </c>
      <c r="L25" s="406"/>
      <c r="M25" s="406"/>
      <c r="N25" s="205" t="e">
        <f ca="1">H22+N22</f>
        <v>#DIV/0!</v>
      </c>
      <c r="O25" s="49"/>
      <c r="P25" s="49"/>
      <c r="Q25" s="49"/>
      <c r="R25" s="49"/>
      <c r="S25" s="49"/>
      <c r="T25" s="49"/>
      <c r="U25" s="49"/>
      <c r="V25" s="49"/>
      <c r="W25" s="49"/>
      <c r="Y25" s="330" t="s">
        <v>175</v>
      </c>
      <c r="AI25" s="304" t="s">
        <v>176</v>
      </c>
      <c r="AJ25" s="305">
        <f ca="1">AJ24-AJ16</f>
        <v>0</v>
      </c>
      <c r="AK25" s="305">
        <f t="shared" ref="AK25:AL25" ca="1" si="15">AK24-AK16</f>
        <v>0</v>
      </c>
      <c r="AL25" s="306">
        <f t="shared" ca="1" si="15"/>
        <v>0</v>
      </c>
    </row>
    <row r="26" spans="1:38" ht="21" x14ac:dyDescent="0.25">
      <c r="A26" s="48"/>
      <c r="B26" s="24"/>
      <c r="C26" s="407" t="s">
        <v>177</v>
      </c>
      <c r="D26" s="407"/>
      <c r="E26" s="194" t="e">
        <f ca="1">SUM(AC19:AE20)</f>
        <v>#DIV/0!</v>
      </c>
      <c r="F26" s="404" t="s">
        <v>64</v>
      </c>
      <c r="G26" s="404"/>
      <c r="H26" s="404"/>
      <c r="I26" s="24"/>
      <c r="J26" s="55"/>
      <c r="K26" s="56"/>
      <c r="L26" s="57"/>
      <c r="M26" s="58"/>
      <c r="N26" s="59"/>
      <c r="O26" s="49"/>
      <c r="P26" s="49"/>
      <c r="Q26" s="49"/>
      <c r="R26" s="49"/>
      <c r="S26" s="49"/>
      <c r="T26" s="49"/>
      <c r="U26" s="49"/>
      <c r="V26" s="49"/>
      <c r="W26" s="49"/>
      <c r="X26" s="24"/>
      <c r="Y26" s="330" t="s">
        <v>178</v>
      </c>
      <c r="Z26" s="24"/>
      <c r="AA26" s="24"/>
      <c r="AB26" s="24"/>
      <c r="AC26" s="24"/>
      <c r="AD26" s="24"/>
      <c r="AE26" s="24"/>
      <c r="AF26" s="24"/>
      <c r="AG26" s="24"/>
      <c r="AI26" s="307" t="s">
        <v>179</v>
      </c>
      <c r="AJ26" s="308" t="e">
        <f ca="1">(AJ24-AJ16)/AJ16*100</f>
        <v>#DIV/0!</v>
      </c>
      <c r="AK26" s="308" t="e">
        <f t="shared" ref="AK26:AL26" ca="1" si="16">(AK24-AK16)/AK16*100</f>
        <v>#DIV/0!</v>
      </c>
      <c r="AL26" s="309" t="e">
        <f t="shared" ca="1" si="16"/>
        <v>#DIV/0!</v>
      </c>
    </row>
    <row r="27" spans="1:38" x14ac:dyDescent="0.25">
      <c r="C27" s="403" t="s">
        <v>180</v>
      </c>
      <c r="D27" s="403"/>
      <c r="E27" s="193">
        <f ca="1">INDIRECT("Summary!k"&amp;(12+A1))</f>
        <v>0</v>
      </c>
      <c r="F27" s="404" t="s">
        <v>181</v>
      </c>
      <c r="G27" s="404"/>
      <c r="H27" s="404"/>
      <c r="Y27" s="330" t="s">
        <v>289</v>
      </c>
      <c r="AI27" s="24"/>
      <c r="AJ27" s="24"/>
      <c r="AK27" s="24"/>
      <c r="AL27" s="24"/>
    </row>
    <row r="28" spans="1:38" x14ac:dyDescent="0.25">
      <c r="C28" s="403"/>
      <c r="D28" s="403"/>
      <c r="E28" s="193">
        <f ca="1">INDIRECT("Summary!L"&amp;(12+A1))</f>
        <v>0</v>
      </c>
      <c r="F28" s="404" t="s">
        <v>173</v>
      </c>
      <c r="G28" s="404"/>
      <c r="H28" s="404"/>
      <c r="AI28" s="24"/>
      <c r="AJ28" s="24"/>
      <c r="AK28" s="24"/>
      <c r="AL28" s="221"/>
    </row>
    <row r="29" spans="1:38" x14ac:dyDescent="0.25">
      <c r="C29" s="407" t="s">
        <v>177</v>
      </c>
      <c r="D29" s="407"/>
      <c r="E29" s="195" t="e">
        <f ca="1">SUM(AC21:AE22)</f>
        <v>#DIV/0!</v>
      </c>
      <c r="F29" s="333" t="s">
        <v>64</v>
      </c>
      <c r="G29" s="333"/>
      <c r="H29" s="198"/>
      <c r="AI29" s="24"/>
      <c r="AJ29" s="24"/>
      <c r="AK29" s="24"/>
      <c r="AL29" s="24"/>
    </row>
    <row r="30" spans="1:38" x14ac:dyDescent="0.25">
      <c r="C30" s="199" t="s">
        <v>182</v>
      </c>
      <c r="D30" s="200"/>
      <c r="E30" s="196">
        <f ca="1">IFERROR((E24*SUM(D6:D7)+E27*SUM(D12:D13))/SUM(D6:D7,D12:D13),0)</f>
        <v>0</v>
      </c>
      <c r="F30" s="199" t="s">
        <v>183</v>
      </c>
      <c r="G30" s="199"/>
      <c r="H30" s="200"/>
    </row>
    <row r="31" spans="1:38" x14ac:dyDescent="0.25">
      <c r="C31" s="408" t="s">
        <v>177</v>
      </c>
      <c r="D31" s="408"/>
      <c r="E31" s="197">
        <f ca="1">IFERROR(SUM(E26,E29),0)</f>
        <v>0</v>
      </c>
      <c r="F31" s="201" t="s">
        <v>64</v>
      </c>
      <c r="G31" s="333"/>
      <c r="H31" s="202"/>
    </row>
    <row r="32" spans="1:38" x14ac:dyDescent="0.25">
      <c r="K32" s="97"/>
      <c r="L32" s="178"/>
    </row>
    <row r="33" spans="3:4" x14ac:dyDescent="0.25">
      <c r="C33" t="s">
        <v>184</v>
      </c>
    </row>
    <row r="34" spans="3:4" ht="15.75" x14ac:dyDescent="0.25">
      <c r="C34" s="29"/>
      <c r="D34" s="30" t="s">
        <v>115</v>
      </c>
    </row>
    <row r="35" spans="3:4" x14ac:dyDescent="0.25">
      <c r="C35" s="33" t="s">
        <v>185</v>
      </c>
      <c r="D35" s="34">
        <f>D16-(D9+D14)</f>
        <v>0</v>
      </c>
    </row>
    <row r="36" spans="3:4" x14ac:dyDescent="0.25">
      <c r="C36" s="33" t="s">
        <v>186</v>
      </c>
      <c r="D36" s="34">
        <f>SUM(D6,D7,D12,D13)</f>
        <v>0</v>
      </c>
    </row>
    <row r="37" spans="3:4" x14ac:dyDescent="0.25">
      <c r="C37" s="33" t="s">
        <v>187</v>
      </c>
      <c r="D37" s="34">
        <f>K6+K7+K12+K13</f>
        <v>0</v>
      </c>
    </row>
    <row r="38" spans="3:4" x14ac:dyDescent="0.25">
      <c r="C38" s="33" t="s">
        <v>188</v>
      </c>
      <c r="D38" s="34">
        <f>D7+D10</f>
        <v>0</v>
      </c>
    </row>
    <row r="39" spans="3:4" x14ac:dyDescent="0.25">
      <c r="C39" s="33" t="s">
        <v>189</v>
      </c>
      <c r="D39" s="34">
        <f>D6+D8+D11+D12</f>
        <v>0</v>
      </c>
    </row>
    <row r="40" spans="3:4" x14ac:dyDescent="0.25">
      <c r="C40" s="33" t="s">
        <v>102</v>
      </c>
      <c r="D40" s="34">
        <f>D37-D36</f>
        <v>0</v>
      </c>
    </row>
    <row r="41" spans="3:4" x14ac:dyDescent="0.25">
      <c r="C41" s="33" t="s">
        <v>190</v>
      </c>
      <c r="D41" s="36">
        <f ca="1">(D6+D7)*E24</f>
        <v>0</v>
      </c>
    </row>
    <row r="42" spans="3:4" x14ac:dyDescent="0.25">
      <c r="C42" s="33" t="s">
        <v>191</v>
      </c>
      <c r="D42" s="36">
        <f ca="1">(D12)*E27</f>
        <v>0</v>
      </c>
    </row>
  </sheetData>
  <mergeCells count="35">
    <mergeCell ref="C18:H18"/>
    <mergeCell ref="J18:N18"/>
    <mergeCell ref="C1:H1"/>
    <mergeCell ref="E2:H2"/>
    <mergeCell ref="E3:H3"/>
    <mergeCell ref="D4:H4"/>
    <mergeCell ref="J4:N4"/>
    <mergeCell ref="J22:K22"/>
    <mergeCell ref="Y4:AG4"/>
    <mergeCell ref="AJ4:AL4"/>
    <mergeCell ref="Y16:AE16"/>
    <mergeCell ref="Z17:AE17"/>
    <mergeCell ref="P4:V4"/>
    <mergeCell ref="F19:G19"/>
    <mergeCell ref="F20:G20"/>
    <mergeCell ref="F21:G21"/>
    <mergeCell ref="C22:D22"/>
    <mergeCell ref="F22:G22"/>
    <mergeCell ref="C23:H23"/>
    <mergeCell ref="Z23:AB23"/>
    <mergeCell ref="AC23:AE23"/>
    <mergeCell ref="C24:D24"/>
    <mergeCell ref="F24:H24"/>
    <mergeCell ref="J24:M24"/>
    <mergeCell ref="K25:M25"/>
    <mergeCell ref="C26:D26"/>
    <mergeCell ref="F26:H26"/>
    <mergeCell ref="C27:D27"/>
    <mergeCell ref="F27:H27"/>
    <mergeCell ref="C28:D28"/>
    <mergeCell ref="F28:H28"/>
    <mergeCell ref="C29:D29"/>
    <mergeCell ref="C31:D31"/>
    <mergeCell ref="C25:D25"/>
    <mergeCell ref="F25:H25"/>
  </mergeCells>
  <dataValidations count="1">
    <dataValidation type="decimal" allowBlank="1" showInputMessage="1" showErrorMessage="1" sqref="N24" xr:uid="{00000000-0002-0000-0400-000000000000}">
      <formula1>H19</formula1>
      <formula2>N19</formula2>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Events!$B$3:$B$9</xm:f>
          </x14:formula1>
          <xm:sqref>C4:C5 C34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76"/>
  <sheetViews>
    <sheetView showGridLines="0" workbookViewId="0">
      <pane ySplit="1" topLeftCell="A30" activePane="bottomLeft" state="frozen"/>
      <selection activeCell="C16" sqref="C16"/>
      <selection pane="bottomLeft" activeCell="P62" sqref="P62"/>
    </sheetView>
  </sheetViews>
  <sheetFormatPr defaultColWidth="8.85546875" defaultRowHeight="15" x14ac:dyDescent="0.25"/>
  <cols>
    <col min="1" max="1" width="4.7109375" customWidth="1"/>
    <col min="3" max="3" width="7.28515625" customWidth="1"/>
    <col min="5" max="5" width="8.42578125" customWidth="1"/>
    <col min="6" max="6" width="3.42578125" customWidth="1"/>
    <col min="9" max="9" width="9.140625" customWidth="1"/>
  </cols>
  <sheetData>
    <row r="1" spans="1:13" s="2" customFormat="1" ht="19.5" customHeight="1" x14ac:dyDescent="0.25">
      <c r="A1" s="60" t="s">
        <v>192</v>
      </c>
      <c r="B1" s="60"/>
      <c r="C1" s="3"/>
      <c r="D1" s="3"/>
      <c r="E1" s="3"/>
      <c r="F1" s="3"/>
      <c r="G1" s="3"/>
      <c r="H1" s="3"/>
      <c r="I1" s="3"/>
      <c r="J1" s="3"/>
      <c r="K1" s="3"/>
    </row>
    <row r="2" spans="1:13" ht="15" customHeight="1" x14ac:dyDescent="0.25">
      <c r="B2" s="351" t="s">
        <v>193</v>
      </c>
      <c r="C2" s="351"/>
      <c r="D2" s="351"/>
      <c r="E2" s="351"/>
      <c r="F2" s="351"/>
      <c r="G2" s="351"/>
      <c r="H2" s="351"/>
      <c r="I2" s="351"/>
      <c r="J2" s="351"/>
      <c r="K2" s="351"/>
      <c r="L2" s="351"/>
      <c r="M2" s="351"/>
    </row>
    <row r="3" spans="1:13" x14ac:dyDescent="0.25">
      <c r="B3" s="351"/>
      <c r="C3" s="351"/>
      <c r="D3" s="351"/>
      <c r="E3" s="351"/>
      <c r="F3" s="351"/>
      <c r="G3" s="351"/>
      <c r="H3" s="351"/>
      <c r="I3" s="351"/>
      <c r="J3" s="351"/>
      <c r="K3" s="351"/>
      <c r="L3" s="351"/>
      <c r="M3" s="351"/>
    </row>
    <row r="4" spans="1:13" ht="10.5" customHeight="1" x14ac:dyDescent="0.25">
      <c r="B4" s="326"/>
      <c r="C4" s="326"/>
      <c r="D4" s="326"/>
      <c r="E4" s="326"/>
      <c r="F4" s="326"/>
      <c r="G4" s="326"/>
      <c r="H4" s="326"/>
      <c r="I4" s="326"/>
      <c r="J4" s="326"/>
      <c r="K4" s="326"/>
    </row>
    <row r="5" spans="1:13" x14ac:dyDescent="0.25">
      <c r="B5" s="354" t="s">
        <v>194</v>
      </c>
      <c r="C5" s="354"/>
      <c r="D5" s="354"/>
      <c r="E5" s="354"/>
      <c r="F5" s="354"/>
      <c r="G5" s="354"/>
      <c r="H5" s="354"/>
      <c r="I5" s="354"/>
      <c r="J5" s="61"/>
    </row>
    <row r="6" spans="1:13" ht="15" customHeight="1" x14ac:dyDescent="0.25">
      <c r="B6" s="351" t="s">
        <v>195</v>
      </c>
      <c r="C6" s="351"/>
      <c r="D6" s="351"/>
      <c r="E6" s="351"/>
      <c r="F6" s="351"/>
      <c r="G6" s="351"/>
      <c r="H6" s="351"/>
      <c r="I6" s="351"/>
      <c r="J6" s="351"/>
      <c r="K6" s="351"/>
      <c r="L6" s="351"/>
      <c r="M6" s="351"/>
    </row>
    <row r="7" spans="1:13" x14ac:dyDescent="0.25">
      <c r="B7" s="351"/>
      <c r="C7" s="351"/>
      <c r="D7" s="351"/>
      <c r="E7" s="351"/>
      <c r="F7" s="351"/>
      <c r="G7" s="351"/>
      <c r="H7" s="351"/>
      <c r="I7" s="351"/>
      <c r="J7" s="351"/>
      <c r="K7" s="351"/>
      <c r="L7" s="351"/>
      <c r="M7" s="351"/>
    </row>
    <row r="8" spans="1:13" x14ac:dyDescent="0.25">
      <c r="B8" s="351"/>
      <c r="C8" s="351"/>
      <c r="D8" s="351"/>
      <c r="E8" s="351"/>
      <c r="F8" s="351"/>
      <c r="G8" s="351"/>
      <c r="H8" s="351"/>
      <c r="I8" s="351"/>
      <c r="J8" s="351"/>
      <c r="K8" s="351"/>
      <c r="L8" s="351"/>
      <c r="M8" s="351"/>
    </row>
    <row r="9" spans="1:13" ht="6.75" customHeight="1" x14ac:dyDescent="0.25">
      <c r="B9" s="61"/>
      <c r="C9" s="61"/>
      <c r="D9" s="61"/>
      <c r="E9" s="61"/>
      <c r="F9" s="61"/>
      <c r="G9" s="61"/>
      <c r="H9" s="61"/>
      <c r="I9" s="61"/>
      <c r="J9" s="61"/>
      <c r="K9" s="61"/>
    </row>
    <row r="10" spans="1:13" x14ac:dyDescent="0.25">
      <c r="B10" s="62" t="s">
        <v>196</v>
      </c>
      <c r="F10" s="411" t="s">
        <v>197</v>
      </c>
      <c r="G10" s="411"/>
      <c r="H10" s="411"/>
      <c r="I10" s="411"/>
      <c r="J10" s="411"/>
      <c r="K10" s="411"/>
      <c r="L10" s="411"/>
      <c r="M10" s="411"/>
    </row>
    <row r="11" spans="1:13" x14ac:dyDescent="0.25">
      <c r="B11" s="30">
        <v>1</v>
      </c>
      <c r="C11" s="63" t="s">
        <v>198</v>
      </c>
      <c r="D11" s="63"/>
      <c r="E11" s="63"/>
      <c r="F11" s="411"/>
      <c r="G11" s="411"/>
      <c r="H11" s="411"/>
      <c r="I11" s="411"/>
      <c r="J11" s="411"/>
      <c r="K11" s="411"/>
      <c r="L11" s="411"/>
      <c r="M11" s="411"/>
    </row>
    <row r="12" spans="1:13" x14ac:dyDescent="0.25">
      <c r="B12" s="30">
        <v>2</v>
      </c>
      <c r="C12" s="63" t="s">
        <v>199</v>
      </c>
      <c r="D12" s="63"/>
      <c r="E12" s="63"/>
      <c r="F12" s="411"/>
      <c r="G12" s="411"/>
      <c r="H12" s="411"/>
      <c r="I12" s="411"/>
      <c r="J12" s="411"/>
      <c r="K12" s="411"/>
      <c r="L12" s="411"/>
      <c r="M12" s="411"/>
    </row>
    <row r="13" spans="1:13" x14ac:dyDescent="0.25">
      <c r="B13" s="30">
        <v>3</v>
      </c>
      <c r="C13" s="63" t="s">
        <v>135</v>
      </c>
      <c r="D13" s="63"/>
      <c r="E13" s="63"/>
      <c r="F13" s="411"/>
      <c r="G13" s="411"/>
      <c r="H13" s="411"/>
      <c r="I13" s="411"/>
      <c r="J13" s="411"/>
      <c r="K13" s="411"/>
      <c r="L13" s="411"/>
      <c r="M13" s="411"/>
    </row>
    <row r="14" spans="1:13" x14ac:dyDescent="0.25">
      <c r="B14" s="30">
        <v>4</v>
      </c>
      <c r="C14" s="63" t="s">
        <v>136</v>
      </c>
      <c r="D14" s="63"/>
      <c r="E14" s="63"/>
      <c r="F14" s="411"/>
      <c r="G14" s="411"/>
      <c r="H14" s="411"/>
      <c r="I14" s="411"/>
      <c r="J14" s="411"/>
      <c r="K14" s="411"/>
      <c r="L14" s="411"/>
      <c r="M14" s="411"/>
    </row>
    <row r="15" spans="1:13" x14ac:dyDescent="0.25">
      <c r="B15" s="30">
        <v>5</v>
      </c>
      <c r="C15" s="63" t="s">
        <v>137</v>
      </c>
      <c r="D15" s="63"/>
      <c r="E15" s="63"/>
      <c r="F15" s="411"/>
      <c r="G15" s="411"/>
      <c r="H15" s="411"/>
      <c r="I15" s="411"/>
      <c r="J15" s="411"/>
      <c r="K15" s="411"/>
      <c r="L15" s="411"/>
      <c r="M15" s="411"/>
    </row>
    <row r="16" spans="1:13" x14ac:dyDescent="0.25">
      <c r="B16" s="30">
        <v>6</v>
      </c>
      <c r="C16" s="63" t="s">
        <v>138</v>
      </c>
      <c r="D16" s="63"/>
      <c r="E16" s="63"/>
      <c r="F16" s="411"/>
      <c r="G16" s="411"/>
      <c r="H16" s="411"/>
      <c r="I16" s="411"/>
      <c r="J16" s="411"/>
      <c r="K16" s="411"/>
      <c r="L16" s="411"/>
      <c r="M16" s="411"/>
    </row>
    <row r="17" spans="2:21" x14ac:dyDescent="0.25">
      <c r="B17" s="30">
        <v>7</v>
      </c>
      <c r="C17" s="63" t="s">
        <v>200</v>
      </c>
      <c r="D17" s="63"/>
      <c r="E17" s="63"/>
      <c r="F17" s="411"/>
      <c r="G17" s="411"/>
      <c r="H17" s="411"/>
      <c r="I17" s="411"/>
      <c r="J17" s="411"/>
      <c r="K17" s="411"/>
      <c r="L17" s="411"/>
      <c r="M17" s="411"/>
    </row>
    <row r="18" spans="2:21" x14ac:dyDescent="0.25">
      <c r="B18" s="30">
        <v>8</v>
      </c>
      <c r="C18" s="63" t="s">
        <v>201</v>
      </c>
      <c r="D18" s="63"/>
      <c r="E18" s="63"/>
      <c r="F18" s="411"/>
      <c r="G18" s="411"/>
      <c r="H18" s="411"/>
      <c r="I18" s="411"/>
      <c r="J18" s="411"/>
      <c r="K18" s="411"/>
      <c r="L18" s="411"/>
      <c r="M18" s="411"/>
    </row>
    <row r="19" spans="2:21" x14ac:dyDescent="0.25">
      <c r="B19" s="30">
        <v>9</v>
      </c>
      <c r="C19" s="63" t="s">
        <v>141</v>
      </c>
      <c r="D19" s="63"/>
      <c r="E19" s="63"/>
      <c r="F19" s="411"/>
      <c r="G19" s="411"/>
      <c r="H19" s="411"/>
      <c r="I19" s="411"/>
      <c r="J19" s="411"/>
      <c r="K19" s="411"/>
      <c r="L19" s="411"/>
      <c r="M19" s="411"/>
    </row>
    <row r="20" spans="2:21" x14ac:dyDescent="0.25">
      <c r="B20" s="30">
        <v>10</v>
      </c>
      <c r="C20" s="63" t="s">
        <v>142</v>
      </c>
      <c r="D20" s="63"/>
      <c r="E20" s="63"/>
      <c r="F20" s="411"/>
      <c r="G20" s="411"/>
      <c r="H20" s="411"/>
      <c r="I20" s="411"/>
      <c r="J20" s="411"/>
      <c r="K20" s="411"/>
      <c r="L20" s="411"/>
      <c r="M20" s="411"/>
    </row>
    <row r="21" spans="2:21" ht="9" customHeight="1" x14ac:dyDescent="0.25">
      <c r="B21" s="30"/>
      <c r="C21" s="63"/>
    </row>
    <row r="22" spans="2:21" x14ac:dyDescent="0.25">
      <c r="B22" s="46" t="s">
        <v>202</v>
      </c>
    </row>
    <row r="23" spans="2:21" ht="17.25" customHeight="1" x14ac:dyDescent="0.25">
      <c r="B23" s="351" t="s">
        <v>203</v>
      </c>
      <c r="C23" s="351"/>
      <c r="D23" s="351"/>
      <c r="E23" s="351"/>
      <c r="F23" s="351"/>
      <c r="G23" s="351"/>
      <c r="H23" s="351"/>
      <c r="I23" s="351"/>
      <c r="J23" s="351"/>
      <c r="K23" s="351"/>
      <c r="L23" s="351"/>
      <c r="M23" s="351"/>
    </row>
    <row r="24" spans="2:21" ht="21" customHeight="1" x14ac:dyDescent="0.25">
      <c r="B24" s="351"/>
      <c r="C24" s="351"/>
      <c r="D24" s="351"/>
      <c r="E24" s="351"/>
      <c r="F24" s="351"/>
      <c r="G24" s="351"/>
      <c r="H24" s="351"/>
      <c r="I24" s="351"/>
      <c r="J24" s="351"/>
      <c r="K24" s="351"/>
      <c r="L24" s="351"/>
      <c r="M24" s="351"/>
    </row>
    <row r="25" spans="2:21" ht="22.5" customHeight="1" x14ac:dyDescent="0.25">
      <c r="B25" s="351"/>
      <c r="C25" s="351"/>
      <c r="D25" s="351"/>
      <c r="E25" s="351"/>
      <c r="F25" s="351"/>
      <c r="G25" s="351"/>
      <c r="H25" s="351"/>
      <c r="I25" s="351"/>
      <c r="J25" s="351"/>
      <c r="K25" s="351"/>
      <c r="L25" s="351"/>
      <c r="M25" s="351"/>
    </row>
    <row r="26" spans="2:21" x14ac:dyDescent="0.25">
      <c r="G26" s="412" t="s">
        <v>204</v>
      </c>
      <c r="H26" s="412"/>
      <c r="I26" s="412"/>
      <c r="J26" s="412"/>
      <c r="K26" s="412"/>
      <c r="L26" s="412"/>
      <c r="M26" s="412"/>
    </row>
    <row r="27" spans="2:21" x14ac:dyDescent="0.25">
      <c r="G27" s="64" t="s">
        <v>205</v>
      </c>
      <c r="H27" s="64" t="s">
        <v>206</v>
      </c>
      <c r="I27" s="64" t="s">
        <v>207</v>
      </c>
      <c r="J27" s="64" t="s">
        <v>208</v>
      </c>
      <c r="K27" s="64" t="s">
        <v>209</v>
      </c>
      <c r="L27" s="64" t="s">
        <v>210</v>
      </c>
      <c r="M27" s="64" t="s">
        <v>211</v>
      </c>
      <c r="P27" s="64"/>
      <c r="Q27" s="64"/>
      <c r="R27" s="64"/>
      <c r="S27" s="64"/>
      <c r="T27" s="64"/>
      <c r="U27" s="64"/>
    </row>
    <row r="28" spans="2:21" x14ac:dyDescent="0.25">
      <c r="C28" s="30">
        <v>1</v>
      </c>
      <c r="D28" s="63" t="s">
        <v>198</v>
      </c>
      <c r="E28" s="63"/>
      <c r="F28" s="63"/>
      <c r="G28" s="311">
        <f t="shared" ref="G28:M28" si="0">G30+CNadj</f>
        <v>37</v>
      </c>
      <c r="H28" s="311">
        <f t="shared" si="0"/>
        <v>78</v>
      </c>
      <c r="I28" s="311">
        <f t="shared" si="0"/>
        <v>59</v>
      </c>
      <c r="J28" s="311">
        <f t="shared" si="0"/>
        <v>78</v>
      </c>
      <c r="K28" s="311">
        <f t="shared" si="0"/>
        <v>72</v>
      </c>
      <c r="L28" s="311">
        <f t="shared" si="0"/>
        <v>78</v>
      </c>
      <c r="M28" s="311">
        <f t="shared" si="0"/>
        <v>78</v>
      </c>
      <c r="P28" s="65"/>
      <c r="Q28" s="65"/>
      <c r="R28" s="65"/>
      <c r="S28" s="65"/>
      <c r="T28" s="65"/>
      <c r="U28" s="65"/>
    </row>
    <row r="29" spans="2:21" x14ac:dyDescent="0.25">
      <c r="C29" s="30">
        <v>2</v>
      </c>
      <c r="D29" s="63" t="s">
        <v>199</v>
      </c>
      <c r="E29" s="63"/>
      <c r="F29" s="63"/>
      <c r="G29" s="311">
        <f t="shared" ref="G29:M29" si="1">G32+CNadj</f>
        <v>96</v>
      </c>
      <c r="H29" s="311">
        <f t="shared" si="1"/>
        <v>96</v>
      </c>
      <c r="I29" s="311">
        <f t="shared" si="1"/>
        <v>96</v>
      </c>
      <c r="J29" s="311">
        <f t="shared" si="1"/>
        <v>96</v>
      </c>
      <c r="K29" s="311">
        <f t="shared" si="1"/>
        <v>96</v>
      </c>
      <c r="L29" s="311">
        <f t="shared" si="1"/>
        <v>96</v>
      </c>
      <c r="M29" s="311">
        <f t="shared" si="1"/>
        <v>96</v>
      </c>
      <c r="P29" s="66"/>
      <c r="Q29" s="66"/>
      <c r="R29" s="66"/>
      <c r="S29" s="66"/>
      <c r="T29" s="66"/>
      <c r="U29" s="66"/>
    </row>
    <row r="30" spans="2:21" x14ac:dyDescent="0.25">
      <c r="C30" s="30">
        <v>3</v>
      </c>
      <c r="D30" s="63" t="s">
        <v>135</v>
      </c>
      <c r="E30" s="63"/>
      <c r="F30" s="63"/>
      <c r="G30" s="67">
        <v>39</v>
      </c>
      <c r="H30" s="67">
        <v>80</v>
      </c>
      <c r="I30" s="67">
        <v>61</v>
      </c>
      <c r="J30" s="67">
        <v>80</v>
      </c>
      <c r="K30" s="67">
        <v>74</v>
      </c>
      <c r="L30" s="67">
        <v>80</v>
      </c>
      <c r="M30" s="67">
        <v>80</v>
      </c>
      <c r="P30" s="68"/>
      <c r="Q30" s="68"/>
      <c r="R30" s="68"/>
      <c r="S30" s="68"/>
      <c r="T30" s="68"/>
      <c r="U30" s="68"/>
    </row>
    <row r="31" spans="2:21" x14ac:dyDescent="0.25">
      <c r="C31" s="30">
        <v>4</v>
      </c>
      <c r="D31" s="63" t="s">
        <v>136</v>
      </c>
      <c r="E31" s="63"/>
      <c r="F31" s="63"/>
      <c r="G31" s="67">
        <v>100</v>
      </c>
      <c r="H31" s="67">
        <v>100</v>
      </c>
      <c r="I31" s="67">
        <v>100</v>
      </c>
      <c r="J31" s="67">
        <v>100</v>
      </c>
      <c r="K31" s="67">
        <v>100</v>
      </c>
      <c r="L31" s="67">
        <v>100</v>
      </c>
      <c r="M31" s="67">
        <v>100</v>
      </c>
      <c r="P31" s="69"/>
      <c r="Q31" s="69"/>
      <c r="R31" s="69"/>
      <c r="S31" s="69"/>
      <c r="T31" s="69"/>
      <c r="U31" s="69"/>
    </row>
    <row r="32" spans="2:21" x14ac:dyDescent="0.25">
      <c r="C32" s="30">
        <v>5</v>
      </c>
      <c r="D32" s="63" t="s">
        <v>137</v>
      </c>
      <c r="E32" s="63"/>
      <c r="F32" s="63"/>
      <c r="G32" s="67">
        <v>98</v>
      </c>
      <c r="H32" s="67">
        <v>98</v>
      </c>
      <c r="I32" s="67">
        <v>98</v>
      </c>
      <c r="J32" s="67">
        <v>98</v>
      </c>
      <c r="K32" s="67">
        <v>98</v>
      </c>
      <c r="L32" s="67">
        <v>98</v>
      </c>
      <c r="M32" s="67">
        <v>98</v>
      </c>
      <c r="P32" s="69"/>
      <c r="Q32" s="69"/>
      <c r="R32" s="69"/>
      <c r="S32" s="69"/>
      <c r="T32" s="69"/>
      <c r="U32" s="69"/>
    </row>
    <row r="33" spans="2:21" x14ac:dyDescent="0.25">
      <c r="C33" s="30">
        <v>6</v>
      </c>
      <c r="D33" s="63" t="s">
        <v>138</v>
      </c>
      <c r="E33" s="63"/>
      <c r="F33" s="63"/>
      <c r="G33" s="70">
        <v>77</v>
      </c>
      <c r="H33" s="71">
        <v>94</v>
      </c>
      <c r="I33" s="71">
        <v>86</v>
      </c>
      <c r="J33" s="71">
        <v>94</v>
      </c>
      <c r="K33" s="71">
        <v>91</v>
      </c>
      <c r="L33" s="71">
        <v>94</v>
      </c>
      <c r="M33" s="71">
        <v>94</v>
      </c>
      <c r="P33" s="69"/>
      <c r="Q33" s="69"/>
      <c r="R33" s="69"/>
      <c r="S33" s="69"/>
      <c r="T33" s="69"/>
      <c r="U33" s="69"/>
    </row>
    <row r="34" spans="2:21" x14ac:dyDescent="0.25">
      <c r="C34" s="30">
        <v>7</v>
      </c>
      <c r="D34" s="63" t="s">
        <v>200</v>
      </c>
      <c r="E34" s="63"/>
      <c r="F34" s="63"/>
      <c r="G34" s="70">
        <v>30</v>
      </c>
      <c r="H34" s="71">
        <v>77</v>
      </c>
      <c r="I34" s="71">
        <v>55</v>
      </c>
      <c r="J34" s="71">
        <v>77</v>
      </c>
      <c r="K34" s="71">
        <v>70</v>
      </c>
      <c r="L34" s="71">
        <v>77</v>
      </c>
      <c r="M34" s="71">
        <v>77</v>
      </c>
      <c r="P34" s="69"/>
      <c r="Q34" s="69"/>
      <c r="R34" s="69"/>
      <c r="S34" s="69"/>
      <c r="T34" s="69"/>
      <c r="U34" s="69"/>
    </row>
    <row r="35" spans="2:21" x14ac:dyDescent="0.25">
      <c r="C35" s="30">
        <v>8</v>
      </c>
      <c r="D35" s="63" t="s">
        <v>201</v>
      </c>
      <c r="E35" s="63"/>
      <c r="F35" s="63"/>
      <c r="G35" s="70">
        <v>77</v>
      </c>
      <c r="H35" s="71">
        <v>77</v>
      </c>
      <c r="I35" s="71">
        <v>77</v>
      </c>
      <c r="J35" s="71">
        <v>77</v>
      </c>
      <c r="K35" s="71">
        <v>77</v>
      </c>
      <c r="L35" s="71">
        <v>77</v>
      </c>
      <c r="M35" s="71">
        <v>77</v>
      </c>
      <c r="P35" s="69"/>
      <c r="Q35" s="69"/>
      <c r="R35" s="69"/>
      <c r="S35" s="69"/>
      <c r="T35" s="69"/>
      <c r="U35" s="69"/>
    </row>
    <row r="36" spans="2:21" x14ac:dyDescent="0.25">
      <c r="C36" s="30">
        <v>9</v>
      </c>
      <c r="D36" s="63" t="s">
        <v>141</v>
      </c>
      <c r="E36" s="63"/>
      <c r="F36" s="63"/>
      <c r="G36" s="70">
        <v>100</v>
      </c>
      <c r="H36" s="71">
        <v>100</v>
      </c>
      <c r="I36" s="71">
        <v>100</v>
      </c>
      <c r="J36" s="71">
        <v>100</v>
      </c>
      <c r="K36" s="71">
        <v>100</v>
      </c>
      <c r="L36" s="71">
        <v>100</v>
      </c>
      <c r="M36" s="71">
        <v>100</v>
      </c>
      <c r="P36" s="72"/>
      <c r="Q36" s="72"/>
      <c r="R36" s="72"/>
      <c r="S36" s="72"/>
      <c r="T36" s="72"/>
      <c r="U36" s="72"/>
    </row>
    <row r="37" spans="2:21" x14ac:dyDescent="0.25">
      <c r="C37" s="186">
        <v>10</v>
      </c>
      <c r="D37" s="187" t="s">
        <v>142</v>
      </c>
      <c r="E37" s="187"/>
      <c r="F37" s="187"/>
      <c r="G37" s="70">
        <f>(G28+G30)/2</f>
        <v>38</v>
      </c>
      <c r="H37" s="70">
        <f t="shared" ref="H37:M37" si="2">(H28+H30)/2</f>
        <v>79</v>
      </c>
      <c r="I37" s="70">
        <f t="shared" si="2"/>
        <v>60</v>
      </c>
      <c r="J37" s="70">
        <f t="shared" si="2"/>
        <v>79</v>
      </c>
      <c r="K37" s="70">
        <f t="shared" si="2"/>
        <v>73</v>
      </c>
      <c r="L37" s="70">
        <f t="shared" si="2"/>
        <v>79</v>
      </c>
      <c r="M37" s="70">
        <f t="shared" si="2"/>
        <v>79</v>
      </c>
      <c r="N37" t="s">
        <v>212</v>
      </c>
    </row>
    <row r="38" spans="2:21" x14ac:dyDescent="0.25">
      <c r="C38" s="30"/>
      <c r="D38" s="63"/>
      <c r="E38" s="63"/>
      <c r="F38" s="63"/>
      <c r="G38" s="184"/>
      <c r="H38" s="65"/>
      <c r="I38" s="65"/>
      <c r="J38" s="65"/>
      <c r="K38" s="65"/>
      <c r="L38" s="65"/>
      <c r="M38" s="65"/>
    </row>
    <row r="39" spans="2:21" x14ac:dyDescent="0.25">
      <c r="B39" s="46" t="s">
        <v>213</v>
      </c>
    </row>
    <row r="40" spans="2:21" x14ac:dyDescent="0.25">
      <c r="B40" s="351" t="s">
        <v>214</v>
      </c>
      <c r="C40" s="351"/>
      <c r="D40" s="351"/>
      <c r="E40" s="351"/>
      <c r="F40" s="351"/>
      <c r="G40" s="351"/>
      <c r="H40" s="351"/>
      <c r="I40" s="351"/>
      <c r="J40" s="351"/>
      <c r="K40" s="351"/>
      <c r="L40" s="351"/>
      <c r="M40" s="351"/>
    </row>
    <row r="41" spans="2:21" x14ac:dyDescent="0.25">
      <c r="B41" s="351"/>
      <c r="C41" s="351"/>
      <c r="D41" s="351"/>
      <c r="E41" s="351"/>
      <c r="F41" s="351"/>
      <c r="G41" s="351"/>
      <c r="H41" s="351"/>
      <c r="I41" s="351"/>
      <c r="J41" s="351"/>
      <c r="K41" s="351"/>
      <c r="L41" s="351"/>
      <c r="M41" s="351"/>
    </row>
    <row r="42" spans="2:21" x14ac:dyDescent="0.25">
      <c r="B42" s="351"/>
      <c r="C42" s="351"/>
      <c r="D42" s="351"/>
      <c r="E42" s="351"/>
      <c r="F42" s="351"/>
      <c r="G42" s="351"/>
      <c r="H42" s="351"/>
      <c r="I42" s="351"/>
      <c r="J42" s="351"/>
      <c r="K42" s="351"/>
      <c r="L42" s="351"/>
      <c r="M42" s="351"/>
    </row>
    <row r="43" spans="2:21" x14ac:dyDescent="0.25">
      <c r="B43" s="351"/>
      <c r="C43" s="351"/>
      <c r="D43" s="351"/>
      <c r="E43" s="351"/>
      <c r="F43" s="351"/>
      <c r="G43" s="351"/>
      <c r="H43" s="351"/>
      <c r="I43" s="351"/>
      <c r="J43" s="351"/>
      <c r="K43" s="351"/>
      <c r="L43" s="351"/>
      <c r="M43" s="351"/>
    </row>
    <row r="44" spans="2:21" x14ac:dyDescent="0.25">
      <c r="B44" s="350" t="s">
        <v>215</v>
      </c>
      <c r="C44" s="350"/>
      <c r="D44" s="350"/>
      <c r="E44" s="350"/>
      <c r="F44" s="350"/>
      <c r="G44" s="350"/>
      <c r="H44" s="350"/>
      <c r="I44" s="350"/>
      <c r="J44" s="350"/>
      <c r="K44" s="350"/>
      <c r="L44" s="350"/>
      <c r="M44" s="350"/>
    </row>
    <row r="45" spans="2:21" x14ac:dyDescent="0.25">
      <c r="H45" s="19" t="s">
        <v>216</v>
      </c>
      <c r="I45" s="393" t="s">
        <v>217</v>
      </c>
      <c r="J45" s="393"/>
      <c r="K45" s="393"/>
    </row>
    <row r="46" spans="2:21" x14ac:dyDescent="0.25">
      <c r="C46" t="s">
        <v>218</v>
      </c>
      <c r="F46" t="s">
        <v>39</v>
      </c>
      <c r="H46" s="73">
        <v>0.05</v>
      </c>
      <c r="I46" s="73">
        <v>0.05</v>
      </c>
      <c r="J46">
        <v>2.5000000000000001E-2</v>
      </c>
      <c r="K46" s="73">
        <v>0</v>
      </c>
    </row>
    <row r="47" spans="2:21" x14ac:dyDescent="0.25">
      <c r="C47" t="s">
        <v>219</v>
      </c>
      <c r="F47" t="s">
        <v>220</v>
      </c>
      <c r="H47">
        <v>-2</v>
      </c>
      <c r="I47">
        <v>-2</v>
      </c>
      <c r="J47">
        <v>-1</v>
      </c>
      <c r="K47">
        <v>0</v>
      </c>
    </row>
    <row r="49" spans="2:14" ht="47.25" customHeight="1" x14ac:dyDescent="0.25">
      <c r="B49" s="410" t="s">
        <v>221</v>
      </c>
      <c r="C49" s="410"/>
      <c r="D49" s="410"/>
      <c r="E49" s="410"/>
      <c r="F49" s="410"/>
      <c r="G49" s="410"/>
      <c r="H49" s="410"/>
      <c r="I49" s="410"/>
      <c r="J49" s="410"/>
      <c r="K49" s="410"/>
      <c r="L49" s="410"/>
      <c r="M49" s="410"/>
      <c r="N49" s="410"/>
    </row>
    <row r="51" spans="2:14" ht="15.75" x14ac:dyDescent="0.25">
      <c r="B51" s="219"/>
    </row>
    <row r="52" spans="2:14" ht="41.25" customHeight="1" x14ac:dyDescent="0.25">
      <c r="B52" s="410" t="s">
        <v>222</v>
      </c>
      <c r="C52" s="410"/>
      <c r="D52" s="410"/>
      <c r="E52" s="410"/>
      <c r="F52" s="410"/>
      <c r="G52" s="410"/>
      <c r="H52" s="410"/>
      <c r="I52" s="410"/>
      <c r="J52" s="410"/>
      <c r="K52" s="410"/>
      <c r="L52" s="410"/>
      <c r="M52" s="410"/>
      <c r="N52" s="410"/>
    </row>
    <row r="54" spans="2:14" x14ac:dyDescent="0.25">
      <c r="B54" s="46" t="s">
        <v>223</v>
      </c>
    </row>
    <row r="55" spans="2:14" x14ac:dyDescent="0.25">
      <c r="B55" s="325" t="s">
        <v>287</v>
      </c>
      <c r="C55" s="325"/>
      <c r="D55" s="325"/>
      <c r="E55" s="325"/>
      <c r="F55" s="325"/>
      <c r="G55" s="325"/>
      <c r="H55" s="325"/>
      <c r="I55" s="325"/>
      <c r="J55" s="325"/>
      <c r="K55" s="325"/>
      <c r="L55" s="325"/>
      <c r="M55" s="325"/>
    </row>
    <row r="56" spans="2:14" x14ac:dyDescent="0.25">
      <c r="B56" t="s">
        <v>224</v>
      </c>
    </row>
    <row r="57" spans="2:14" ht="15" customHeight="1" x14ac:dyDescent="0.25">
      <c r="J57" s="30"/>
      <c r="K57" s="30"/>
      <c r="L57" s="30"/>
      <c r="M57" s="30"/>
    </row>
    <row r="58" spans="2:14" x14ac:dyDescent="0.25">
      <c r="G58" s="334" t="s">
        <v>225</v>
      </c>
      <c r="H58" s="334" t="s">
        <v>150</v>
      </c>
      <c r="I58" s="334" t="s">
        <v>226</v>
      </c>
      <c r="J58" s="30"/>
      <c r="K58" s="30"/>
      <c r="L58" s="30"/>
      <c r="M58" s="30"/>
    </row>
    <row r="59" spans="2:14" x14ac:dyDescent="0.25">
      <c r="G59" s="409" t="s">
        <v>227</v>
      </c>
      <c r="H59" s="409"/>
      <c r="I59" s="334" t="s">
        <v>228</v>
      </c>
      <c r="J59" s="30"/>
      <c r="K59" s="30"/>
      <c r="L59" s="30"/>
      <c r="M59" s="30"/>
    </row>
    <row r="60" spans="2:14" x14ac:dyDescent="0.25">
      <c r="C60">
        <v>1</v>
      </c>
      <c r="D60" t="s">
        <v>198</v>
      </c>
      <c r="G60" s="310">
        <v>8.5299999999999994</v>
      </c>
      <c r="H60" s="310">
        <v>0.65</v>
      </c>
      <c r="I60" s="310">
        <v>0.1</v>
      </c>
      <c r="J60" s="30"/>
      <c r="K60" s="30"/>
      <c r="L60" s="30"/>
      <c r="M60" s="30"/>
    </row>
    <row r="61" spans="2:14" x14ac:dyDescent="0.25">
      <c r="C61">
        <v>2</v>
      </c>
      <c r="D61" t="s">
        <v>199</v>
      </c>
      <c r="G61" s="310">
        <v>20.49</v>
      </c>
      <c r="H61" s="310">
        <v>0.75</v>
      </c>
      <c r="I61" s="310">
        <v>0.3</v>
      </c>
      <c r="J61" s="30"/>
      <c r="K61" s="30"/>
      <c r="L61" s="30"/>
      <c r="M61" s="30"/>
    </row>
    <row r="62" spans="2:14" x14ac:dyDescent="0.25">
      <c r="C62">
        <v>3</v>
      </c>
      <c r="D62" t="s">
        <v>135</v>
      </c>
      <c r="G62" s="310">
        <v>11.19</v>
      </c>
      <c r="H62" s="310">
        <v>0.86</v>
      </c>
      <c r="I62" s="310">
        <v>0.47</v>
      </c>
      <c r="J62" s="30"/>
      <c r="K62" s="30"/>
      <c r="L62" s="30"/>
      <c r="M62" s="30"/>
    </row>
    <row r="63" spans="2:14" x14ac:dyDescent="0.25">
      <c r="C63">
        <v>4</v>
      </c>
      <c r="D63" t="s">
        <v>136</v>
      </c>
      <c r="G63" s="310">
        <v>0</v>
      </c>
      <c r="H63" s="310">
        <v>0</v>
      </c>
      <c r="I63" s="310">
        <v>0</v>
      </c>
      <c r="J63" s="30"/>
      <c r="K63" s="30"/>
      <c r="L63" s="30"/>
      <c r="M63" s="30"/>
    </row>
    <row r="64" spans="2:14" x14ac:dyDescent="0.25">
      <c r="C64">
        <v>5</v>
      </c>
      <c r="D64" t="s">
        <v>137</v>
      </c>
      <c r="G64" s="310">
        <v>22.45</v>
      </c>
      <c r="H64" s="310">
        <v>0.83</v>
      </c>
      <c r="I64" s="310">
        <v>1.49</v>
      </c>
      <c r="J64" s="30"/>
      <c r="K64" s="30"/>
      <c r="L64" s="30"/>
      <c r="M64" s="30"/>
    </row>
    <row r="65" spans="2:13" x14ac:dyDescent="0.25">
      <c r="C65">
        <v>6</v>
      </c>
      <c r="D65" t="s">
        <v>138</v>
      </c>
      <c r="G65" s="310">
        <v>26.8</v>
      </c>
      <c r="H65" s="310">
        <v>3.21</v>
      </c>
      <c r="I65" s="310">
        <v>14.545</v>
      </c>
      <c r="J65" s="30"/>
      <c r="K65" s="30"/>
      <c r="L65" s="30"/>
      <c r="M65" s="30"/>
    </row>
    <row r="66" spans="2:13" x14ac:dyDescent="0.25">
      <c r="C66">
        <v>7</v>
      </c>
      <c r="D66" t="s">
        <v>200</v>
      </c>
      <c r="G66" s="310">
        <v>1.68</v>
      </c>
      <c r="H66" s="310">
        <v>0.08</v>
      </c>
      <c r="I66" s="310">
        <v>7.0000000000000007E-2</v>
      </c>
      <c r="J66" s="30"/>
      <c r="K66" s="30"/>
      <c r="L66" s="30"/>
      <c r="M66" s="30"/>
    </row>
    <row r="67" spans="2:13" x14ac:dyDescent="0.25">
      <c r="C67">
        <v>8</v>
      </c>
      <c r="D67" t="s">
        <v>201</v>
      </c>
      <c r="G67" s="310">
        <v>1.68</v>
      </c>
      <c r="H67" s="310">
        <v>0.08</v>
      </c>
      <c r="I67" s="310">
        <v>0.04</v>
      </c>
      <c r="J67" s="30"/>
      <c r="K67" s="30"/>
      <c r="L67" s="30"/>
      <c r="M67" s="30"/>
    </row>
    <row r="68" spans="2:13" x14ac:dyDescent="0.25">
      <c r="C68">
        <v>9</v>
      </c>
      <c r="D68" t="s">
        <v>141</v>
      </c>
      <c r="G68" s="310">
        <v>1.68</v>
      </c>
      <c r="H68" s="310">
        <v>0.08</v>
      </c>
      <c r="I68" s="310">
        <v>0.04</v>
      </c>
      <c r="J68" s="30"/>
      <c r="K68" s="30"/>
      <c r="L68" s="30"/>
      <c r="M68" s="30"/>
    </row>
    <row r="69" spans="2:13" x14ac:dyDescent="0.25">
      <c r="C69">
        <v>10</v>
      </c>
      <c r="D69" t="s">
        <v>142</v>
      </c>
      <c r="G69" s="324">
        <v>1.62</v>
      </c>
      <c r="H69" s="324">
        <v>0.36</v>
      </c>
      <c r="I69" s="310">
        <v>0.28999999999999998</v>
      </c>
      <c r="J69" s="30"/>
      <c r="K69" s="30"/>
      <c r="L69" s="30"/>
      <c r="M69" s="30"/>
    </row>
    <row r="73" spans="2:13" x14ac:dyDescent="0.25">
      <c r="B73" t="s">
        <v>229</v>
      </c>
      <c r="E73">
        <f>E75/12/10^6</f>
        <v>2.7154250000000001E-2</v>
      </c>
    </row>
    <row r="74" spans="2:13" x14ac:dyDescent="0.25">
      <c r="E74">
        <f>E75/12</f>
        <v>27154.25</v>
      </c>
    </row>
    <row r="75" spans="2:13" x14ac:dyDescent="0.25">
      <c r="B75" t="s">
        <v>230</v>
      </c>
      <c r="E75">
        <v>325851</v>
      </c>
    </row>
    <row r="76" spans="2:13" x14ac:dyDescent="0.25">
      <c r="E76">
        <f>43560/12*7.48</f>
        <v>27152.400000000001</v>
      </c>
    </row>
  </sheetData>
  <mergeCells count="22">
    <mergeCell ref="B44:M44"/>
    <mergeCell ref="B2:M3"/>
    <mergeCell ref="B5:I5"/>
    <mergeCell ref="B6:M8"/>
    <mergeCell ref="F10:M10"/>
    <mergeCell ref="F11:M11"/>
    <mergeCell ref="G59:H59"/>
    <mergeCell ref="B49:N49"/>
    <mergeCell ref="B52:N52"/>
    <mergeCell ref="F12:M12"/>
    <mergeCell ref="I45:K45"/>
    <mergeCell ref="F13:M13"/>
    <mergeCell ref="F14:M14"/>
    <mergeCell ref="F15:M15"/>
    <mergeCell ref="F16:M16"/>
    <mergeCell ref="F17:M17"/>
    <mergeCell ref="F18:M18"/>
    <mergeCell ref="F19:M19"/>
    <mergeCell ref="F20:M20"/>
    <mergeCell ref="B23:M25"/>
    <mergeCell ref="G26:M26"/>
    <mergeCell ref="B40:M43"/>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F25"/>
  <sheetViews>
    <sheetView workbookViewId="0">
      <selection activeCell="H11" sqref="H11"/>
    </sheetView>
  </sheetViews>
  <sheetFormatPr defaultColWidth="8.85546875" defaultRowHeight="15" x14ac:dyDescent="0.25"/>
  <cols>
    <col min="1" max="1" width="2.42578125" customWidth="1"/>
    <col min="2" max="2" width="39.140625" customWidth="1"/>
    <col min="3" max="3" width="5.85546875" customWidth="1"/>
    <col min="4" max="4" width="40.28515625" bestFit="1" customWidth="1"/>
    <col min="5" max="5" width="8.42578125" customWidth="1"/>
  </cols>
  <sheetData>
    <row r="1" spans="2:6" s="75" customFormat="1" ht="18.75" x14ac:dyDescent="0.3">
      <c r="B1" s="74" t="s">
        <v>231</v>
      </c>
      <c r="C1" s="74"/>
    </row>
    <row r="2" spans="2:6" x14ac:dyDescent="0.25">
      <c r="B2" s="76" t="s">
        <v>232</v>
      </c>
      <c r="C2" s="76" t="s">
        <v>150</v>
      </c>
      <c r="D2" s="76" t="s">
        <v>108</v>
      </c>
    </row>
    <row r="3" spans="2:6" x14ac:dyDescent="0.25">
      <c r="B3" s="77" t="s">
        <v>105</v>
      </c>
      <c r="C3" s="78"/>
      <c r="D3" s="78"/>
    </row>
    <row r="4" spans="2:6" x14ac:dyDescent="0.25">
      <c r="B4" s="77" t="s">
        <v>233</v>
      </c>
      <c r="C4" s="78"/>
      <c r="D4" s="78"/>
    </row>
    <row r="5" spans="2:6" x14ac:dyDescent="0.25">
      <c r="B5" s="77" t="s">
        <v>234</v>
      </c>
      <c r="C5" s="78"/>
      <c r="D5" s="78"/>
    </row>
    <row r="6" spans="2:6" x14ac:dyDescent="0.25">
      <c r="B6" s="77" t="s">
        <v>235</v>
      </c>
      <c r="C6" s="78"/>
      <c r="D6" s="78"/>
    </row>
    <row r="7" spans="2:6" x14ac:dyDescent="0.25">
      <c r="B7" s="77" t="s">
        <v>236</v>
      </c>
      <c r="C7" s="78"/>
      <c r="D7" s="78"/>
    </row>
    <row r="8" spans="2:6" x14ac:dyDescent="0.25">
      <c r="B8" s="77" t="s">
        <v>237</v>
      </c>
      <c r="C8" s="78"/>
      <c r="D8" s="78"/>
    </row>
    <row r="9" spans="2:6" x14ac:dyDescent="0.25">
      <c r="B9" s="77" t="s">
        <v>238</v>
      </c>
      <c r="C9" s="78"/>
      <c r="D9" s="78"/>
    </row>
    <row r="11" spans="2:6" x14ac:dyDescent="0.25">
      <c r="B11" s="46" t="s">
        <v>239</v>
      </c>
    </row>
    <row r="12" spans="2:6" x14ac:dyDescent="0.25">
      <c r="B12" t="s">
        <v>240</v>
      </c>
      <c r="C12" s="79">
        <v>-2</v>
      </c>
      <c r="D12" t="s">
        <v>241</v>
      </c>
    </row>
    <row r="13" spans="2:6" x14ac:dyDescent="0.25">
      <c r="B13" t="s">
        <v>242</v>
      </c>
      <c r="C13" s="80">
        <v>0.05</v>
      </c>
      <c r="D13" t="s">
        <v>243</v>
      </c>
    </row>
    <row r="14" spans="2:6" x14ac:dyDescent="0.25">
      <c r="D14" s="413"/>
      <c r="E14" s="413"/>
      <c r="F14" s="413"/>
    </row>
    <row r="15" spans="2:6" x14ac:dyDescent="0.25">
      <c r="D15" s="81"/>
      <c r="E15" s="30"/>
      <c r="F15" s="82"/>
    </row>
    <row r="16" spans="2:6" x14ac:dyDescent="0.25">
      <c r="B16" s="83" t="s">
        <v>244</v>
      </c>
      <c r="D16" s="30"/>
      <c r="E16" s="30"/>
      <c r="F16" s="82"/>
    </row>
    <row r="17" spans="2:6" x14ac:dyDescent="0.25">
      <c r="B17" s="30"/>
      <c r="C17" s="30"/>
      <c r="D17" s="82"/>
    </row>
    <row r="18" spans="2:6" x14ac:dyDescent="0.25">
      <c r="B18" s="30"/>
      <c r="C18" s="30"/>
      <c r="D18" s="82"/>
    </row>
    <row r="19" spans="2:6" x14ac:dyDescent="0.25">
      <c r="D19" s="314" t="s">
        <v>245</v>
      </c>
      <c r="E19" s="30"/>
      <c r="F19" s="82"/>
    </row>
    <row r="20" spans="2:6" x14ac:dyDescent="0.25">
      <c r="D20" s="81" t="s">
        <v>281</v>
      </c>
    </row>
    <row r="21" spans="2:6" x14ac:dyDescent="0.25">
      <c r="D21" s="81" t="s">
        <v>282</v>
      </c>
    </row>
    <row r="22" spans="2:6" x14ac:dyDescent="0.25">
      <c r="D22" s="81" t="s">
        <v>283</v>
      </c>
    </row>
    <row r="23" spans="2:6" x14ac:dyDescent="0.25">
      <c r="D23" s="81" t="s">
        <v>284</v>
      </c>
    </row>
    <row r="24" spans="2:6" x14ac:dyDescent="0.25">
      <c r="D24" s="81" t="s">
        <v>285</v>
      </c>
    </row>
    <row r="25" spans="2:6" x14ac:dyDescent="0.25">
      <c r="D25" s="81" t="s">
        <v>286</v>
      </c>
    </row>
  </sheetData>
  <mergeCells count="1">
    <mergeCell ref="D14:F14"/>
  </mergeCells>
  <dataValidations count="2">
    <dataValidation type="list" allowBlank="1" showInputMessage="1" showErrorMessage="1" sqref="C13" xr:uid="{00000000-0002-0000-0600-000000000000}">
      <formula1>Ci</formula1>
    </dataValidation>
    <dataValidation type="list" allowBlank="1" showInputMessage="1" showErrorMessage="1" sqref="C12" xr:uid="{00000000-0002-0000-0600-000001000000}">
      <formula1>TCN</formula1>
    </dataValidation>
  </dataValidations>
  <hyperlinks>
    <hyperlink ref="B16" r:id="rId1" xr:uid="{00000000-0004-0000-0600-000000000000}"/>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69"/>
  <sheetViews>
    <sheetView showGridLines="0" topLeftCell="C2" workbookViewId="0">
      <selection activeCell="Q18" sqref="Q18"/>
    </sheetView>
  </sheetViews>
  <sheetFormatPr defaultColWidth="8.85546875" defaultRowHeight="15" x14ac:dyDescent="0.25"/>
  <cols>
    <col min="1" max="1" width="3" style="64" bestFit="1" customWidth="1"/>
    <col min="2" max="2" width="34" customWidth="1"/>
    <col min="3" max="3" width="10.42578125" bestFit="1" customWidth="1"/>
    <col min="4" max="4" width="12.42578125" customWidth="1"/>
    <col min="5" max="5" width="10" customWidth="1"/>
    <col min="6" max="6" width="9.42578125" customWidth="1"/>
    <col min="7" max="7" width="12.42578125" customWidth="1"/>
    <col min="8" max="8" width="12.85546875" customWidth="1"/>
    <col min="9" max="9" width="12" customWidth="1"/>
    <col min="10" max="10" width="10.7109375" bestFit="1" customWidth="1"/>
    <col min="11" max="11" width="10.7109375" customWidth="1"/>
    <col min="12" max="12" width="17.42578125" bestFit="1" customWidth="1"/>
    <col min="13" max="13" width="9" bestFit="1" customWidth="1"/>
    <col min="14" max="14" width="16.85546875" customWidth="1"/>
    <col min="15" max="15" width="26.42578125" bestFit="1" customWidth="1"/>
    <col min="17" max="17" width="9.42578125" bestFit="1" customWidth="1"/>
  </cols>
  <sheetData>
    <row r="1" spans="1:17" s="24" customFormat="1" ht="19.5" customHeight="1" x14ac:dyDescent="0.25">
      <c r="A1" s="84"/>
      <c r="B1" s="415" t="s">
        <v>246</v>
      </c>
      <c r="C1" s="415"/>
      <c r="D1" s="415"/>
      <c r="E1" s="415"/>
      <c r="F1" s="415"/>
      <c r="G1" s="415"/>
      <c r="H1" s="415"/>
      <c r="I1" s="415"/>
      <c r="J1" s="415"/>
      <c r="K1" s="415"/>
      <c r="L1" s="415"/>
      <c r="M1" s="415"/>
      <c r="O1" s="330"/>
    </row>
    <row r="2" spans="1:17" s="24" customFormat="1" ht="27" customHeight="1" x14ac:dyDescent="0.25">
      <c r="A2" s="85"/>
      <c r="B2" s="416" t="s">
        <v>115</v>
      </c>
      <c r="C2" s="416"/>
      <c r="D2" s="416"/>
      <c r="E2" s="416"/>
      <c r="F2" s="416"/>
      <c r="G2" s="416"/>
      <c r="H2" s="416"/>
      <c r="I2" s="416"/>
      <c r="J2" s="416"/>
      <c r="K2" s="416"/>
      <c r="L2" s="416"/>
      <c r="M2" s="416"/>
      <c r="N2" s="321" t="s">
        <v>247</v>
      </c>
      <c r="O2" s="330"/>
    </row>
    <row r="3" spans="1:17" s="24" customFormat="1" ht="19.5" customHeight="1" x14ac:dyDescent="0.25">
      <c r="A3" s="86"/>
      <c r="B3" s="87" t="s">
        <v>66</v>
      </c>
      <c r="C3" s="88">
        <f t="shared" ref="C3:H3" si="0">SUM(C5:C68)</f>
        <v>0</v>
      </c>
      <c r="D3" s="88">
        <f t="shared" si="0"/>
        <v>0</v>
      </c>
      <c r="E3" s="88">
        <f t="shared" si="0"/>
        <v>0</v>
      </c>
      <c r="F3" s="88">
        <f t="shared" si="0"/>
        <v>0</v>
      </c>
      <c r="G3" s="88">
        <f t="shared" si="0"/>
        <v>0</v>
      </c>
      <c r="H3" s="88">
        <f t="shared" si="0"/>
        <v>0</v>
      </c>
      <c r="I3" s="88">
        <f>SUM(I5:I67)</f>
        <v>0</v>
      </c>
      <c r="J3" s="88">
        <f t="shared" ref="J3:L3" si="1">SUM(J5:J67)</f>
        <v>0</v>
      </c>
      <c r="K3" s="88">
        <f t="shared" si="1"/>
        <v>0</v>
      </c>
      <c r="L3" s="88">
        <f t="shared" si="1"/>
        <v>0</v>
      </c>
      <c r="M3" s="88">
        <f>SUM(M5:M68)</f>
        <v>0</v>
      </c>
      <c r="N3" s="322">
        <f>M3-K3-F3</f>
        <v>0</v>
      </c>
      <c r="O3" s="418" t="s">
        <v>248</v>
      </c>
      <c r="P3" s="418"/>
      <c r="Q3" s="418"/>
    </row>
    <row r="4" spans="1:17" s="92" customFormat="1" ht="31.5" customHeight="1" x14ac:dyDescent="0.25">
      <c r="A4" s="89" t="s">
        <v>249</v>
      </c>
      <c r="B4" s="90" t="s">
        <v>250</v>
      </c>
      <c r="C4" s="180" t="s">
        <v>251</v>
      </c>
      <c r="D4" s="180" t="s">
        <v>252</v>
      </c>
      <c r="E4" s="180" t="s">
        <v>253</v>
      </c>
      <c r="F4" s="180" t="s">
        <v>254</v>
      </c>
      <c r="G4" s="180" t="s">
        <v>255</v>
      </c>
      <c r="H4" s="180" t="s">
        <v>256</v>
      </c>
      <c r="I4" s="180" t="s">
        <v>257</v>
      </c>
      <c r="J4" s="180" t="s">
        <v>258</v>
      </c>
      <c r="K4" s="179" t="s">
        <v>259</v>
      </c>
      <c r="L4" s="179" t="s">
        <v>142</v>
      </c>
      <c r="M4" s="91" t="s">
        <v>260</v>
      </c>
      <c r="N4" s="323" t="s">
        <v>260</v>
      </c>
      <c r="O4" s="417" t="s">
        <v>261</v>
      </c>
      <c r="P4" s="417"/>
      <c r="Q4" s="417"/>
    </row>
    <row r="5" spans="1:17" x14ac:dyDescent="0.25">
      <c r="A5" s="93">
        <v>1</v>
      </c>
      <c r="B5" s="101"/>
      <c r="C5" s="101"/>
      <c r="D5" s="101"/>
      <c r="E5" s="101"/>
      <c r="F5" s="101"/>
      <c r="G5" s="101"/>
      <c r="H5" s="101"/>
      <c r="I5" s="101"/>
      <c r="J5" s="101"/>
      <c r="K5" s="101"/>
      <c r="L5" s="101"/>
      <c r="M5" s="96">
        <f t="shared" ref="M5:M21" si="2">SUM(C5:L5)</f>
        <v>0</v>
      </c>
      <c r="N5" s="322">
        <f t="shared" ref="N5:N67" si="3">M5-K5-F5</f>
        <v>0</v>
      </c>
      <c r="O5" s="351" t="s">
        <v>262</v>
      </c>
      <c r="P5" s="351"/>
      <c r="Q5" s="351"/>
    </row>
    <row r="6" spans="1:17" x14ac:dyDescent="0.25">
      <c r="A6" s="93">
        <v>2</v>
      </c>
      <c r="B6" s="101"/>
      <c r="C6" s="101"/>
      <c r="D6" s="101"/>
      <c r="E6" s="101"/>
      <c r="F6" s="101"/>
      <c r="G6" s="101"/>
      <c r="H6" s="101"/>
      <c r="I6" s="101"/>
      <c r="J6" s="101"/>
      <c r="K6" s="101"/>
      <c r="L6" s="101"/>
      <c r="M6" s="96">
        <f t="shared" si="2"/>
        <v>0</v>
      </c>
      <c r="N6" s="322">
        <f t="shared" si="3"/>
        <v>0</v>
      </c>
      <c r="O6" s="351"/>
      <c r="P6" s="351"/>
      <c r="Q6" s="351"/>
    </row>
    <row r="7" spans="1:17" x14ac:dyDescent="0.25">
      <c r="A7" s="93">
        <v>3</v>
      </c>
      <c r="B7" s="101"/>
      <c r="C7" s="101"/>
      <c r="D7" s="101"/>
      <c r="E7" s="101"/>
      <c r="F7" s="101"/>
      <c r="G7" s="101"/>
      <c r="H7" s="101"/>
      <c r="I7" s="101"/>
      <c r="J7" s="101"/>
      <c r="K7" s="101"/>
      <c r="L7" s="101"/>
      <c r="M7" s="96">
        <f t="shared" si="2"/>
        <v>0</v>
      </c>
      <c r="N7" s="322">
        <f t="shared" si="3"/>
        <v>0</v>
      </c>
      <c r="O7" s="351"/>
      <c r="P7" s="351"/>
      <c r="Q7" s="351"/>
    </row>
    <row r="8" spans="1:17" x14ac:dyDescent="0.25">
      <c r="A8" s="93">
        <v>4</v>
      </c>
      <c r="B8" s="101"/>
      <c r="C8" s="101"/>
      <c r="D8" s="101"/>
      <c r="E8" s="101"/>
      <c r="F8" s="101"/>
      <c r="G8" s="101"/>
      <c r="H8" s="101"/>
      <c r="I8" s="101"/>
      <c r="J8" s="101"/>
      <c r="K8" s="101"/>
      <c r="L8" s="101">
        <v>0</v>
      </c>
      <c r="M8" s="96">
        <f t="shared" si="2"/>
        <v>0</v>
      </c>
      <c r="N8" s="322">
        <f t="shared" si="3"/>
        <v>0</v>
      </c>
      <c r="P8" s="99"/>
      <c r="Q8" s="98"/>
    </row>
    <row r="9" spans="1:17" x14ac:dyDescent="0.25">
      <c r="A9" s="93">
        <v>5</v>
      </c>
      <c r="B9" s="94"/>
      <c r="C9" s="101"/>
      <c r="D9" s="101"/>
      <c r="E9" s="101"/>
      <c r="F9" s="101"/>
      <c r="G9" s="101"/>
      <c r="H9" s="101"/>
      <c r="I9" s="101"/>
      <c r="J9" s="101"/>
      <c r="K9" s="101"/>
      <c r="L9" s="101"/>
      <c r="M9" s="96">
        <f t="shared" si="2"/>
        <v>0</v>
      </c>
      <c r="N9" s="322">
        <f t="shared" si="3"/>
        <v>0</v>
      </c>
      <c r="P9" s="99"/>
      <c r="Q9" s="98"/>
    </row>
    <row r="10" spans="1:17" x14ac:dyDescent="0.25">
      <c r="A10" s="93">
        <v>6</v>
      </c>
      <c r="B10" s="94"/>
      <c r="C10" s="101"/>
      <c r="D10" s="101"/>
      <c r="E10" s="101"/>
      <c r="F10" s="101"/>
      <c r="G10" s="101"/>
      <c r="H10" s="101"/>
      <c r="I10" s="101"/>
      <c r="J10" s="101"/>
      <c r="K10" s="101"/>
      <c r="L10" s="101"/>
      <c r="M10" s="96">
        <f t="shared" si="2"/>
        <v>0</v>
      </c>
      <c r="N10" s="322">
        <f t="shared" si="3"/>
        <v>0</v>
      </c>
      <c r="O10" t="s">
        <v>263</v>
      </c>
      <c r="P10" s="99"/>
      <c r="Q10" s="98"/>
    </row>
    <row r="11" spans="1:17" x14ac:dyDescent="0.25">
      <c r="A11" s="93">
        <v>7</v>
      </c>
      <c r="B11" s="78"/>
      <c r="C11" s="101"/>
      <c r="D11" s="101"/>
      <c r="E11" s="101"/>
      <c r="F11" s="101"/>
      <c r="G11" s="101"/>
      <c r="H11" s="101"/>
      <c r="I11" s="101"/>
      <c r="J11" s="101"/>
      <c r="K11" s="101"/>
      <c r="L11" s="101"/>
      <c r="M11" s="96">
        <f t="shared" si="2"/>
        <v>0</v>
      </c>
      <c r="N11" s="322">
        <f t="shared" si="3"/>
        <v>0</v>
      </c>
      <c r="O11" s="351" t="s">
        <v>288</v>
      </c>
      <c r="P11" s="414"/>
      <c r="Q11" s="414"/>
    </row>
    <row r="12" spans="1:17" x14ac:dyDescent="0.25">
      <c r="A12" s="93">
        <v>8</v>
      </c>
      <c r="B12" s="78"/>
      <c r="C12" s="101"/>
      <c r="D12" s="101"/>
      <c r="E12" s="101"/>
      <c r="F12" s="101"/>
      <c r="G12" s="101"/>
      <c r="H12" s="101"/>
      <c r="I12" s="101"/>
      <c r="J12" s="101"/>
      <c r="K12" s="101"/>
      <c r="L12" s="101"/>
      <c r="M12" s="96">
        <f t="shared" si="2"/>
        <v>0</v>
      </c>
      <c r="N12" s="322">
        <f t="shared" si="3"/>
        <v>0</v>
      </c>
      <c r="O12" s="414"/>
      <c r="P12" s="414"/>
      <c r="Q12" s="414"/>
    </row>
    <row r="13" spans="1:17" x14ac:dyDescent="0.25">
      <c r="A13" s="93">
        <v>9</v>
      </c>
      <c r="B13" s="78"/>
      <c r="C13" s="101"/>
      <c r="D13" s="101"/>
      <c r="E13" s="101"/>
      <c r="F13" s="101"/>
      <c r="G13" s="101"/>
      <c r="H13" s="101"/>
      <c r="I13" s="101"/>
      <c r="J13" s="101"/>
      <c r="K13" s="101"/>
      <c r="L13" s="101"/>
      <c r="M13" s="96">
        <f t="shared" si="2"/>
        <v>0</v>
      </c>
      <c r="N13" s="322">
        <f t="shared" si="3"/>
        <v>0</v>
      </c>
      <c r="O13" s="414"/>
      <c r="P13" s="414"/>
      <c r="Q13" s="414"/>
    </row>
    <row r="14" spans="1:17" x14ac:dyDescent="0.25">
      <c r="A14" s="93">
        <v>10</v>
      </c>
      <c r="B14" s="78"/>
      <c r="C14" s="101"/>
      <c r="D14" s="101"/>
      <c r="E14" s="101"/>
      <c r="F14" s="101"/>
      <c r="G14" s="101"/>
      <c r="H14" s="101"/>
      <c r="I14" s="101"/>
      <c r="J14" s="101"/>
      <c r="K14" s="101"/>
      <c r="L14" s="101"/>
      <c r="M14" s="96">
        <f t="shared" si="2"/>
        <v>0</v>
      </c>
      <c r="N14" s="322">
        <f t="shared" si="3"/>
        <v>0</v>
      </c>
      <c r="O14" s="414"/>
      <c r="P14" s="414"/>
      <c r="Q14" s="414"/>
    </row>
    <row r="15" spans="1:17" x14ac:dyDescent="0.25">
      <c r="A15" s="93">
        <v>11</v>
      </c>
      <c r="B15" s="78"/>
      <c r="C15" s="101"/>
      <c r="D15" s="101"/>
      <c r="E15" s="101"/>
      <c r="F15" s="101"/>
      <c r="G15" s="101"/>
      <c r="H15" s="101"/>
      <c r="I15" s="101"/>
      <c r="J15" s="101"/>
      <c r="K15" s="101"/>
      <c r="L15" s="101"/>
      <c r="M15" s="96">
        <f t="shared" si="2"/>
        <v>0</v>
      </c>
      <c r="N15" s="322">
        <f t="shared" si="3"/>
        <v>0</v>
      </c>
      <c r="O15" s="414"/>
      <c r="P15" s="414"/>
      <c r="Q15" s="414"/>
    </row>
    <row r="16" spans="1:17" x14ac:dyDescent="0.25">
      <c r="A16" s="93">
        <v>12</v>
      </c>
      <c r="B16" s="78"/>
      <c r="C16" s="101"/>
      <c r="D16" s="101"/>
      <c r="E16" s="101"/>
      <c r="F16" s="101"/>
      <c r="G16" s="101"/>
      <c r="H16" s="101"/>
      <c r="I16" s="101"/>
      <c r="J16" s="101"/>
      <c r="K16" s="101"/>
      <c r="L16" s="101"/>
      <c r="M16" s="96">
        <f t="shared" si="2"/>
        <v>0</v>
      </c>
      <c r="N16" s="322">
        <f t="shared" si="3"/>
        <v>0</v>
      </c>
      <c r="O16" s="414"/>
      <c r="P16" s="414"/>
      <c r="Q16" s="414"/>
    </row>
    <row r="17" spans="1:17" x14ac:dyDescent="0.25">
      <c r="A17" s="93">
        <v>13</v>
      </c>
      <c r="B17" s="78"/>
      <c r="C17" s="101"/>
      <c r="D17" s="101"/>
      <c r="E17" s="101"/>
      <c r="F17" s="101"/>
      <c r="G17" s="101"/>
      <c r="H17" s="101"/>
      <c r="I17" s="101"/>
      <c r="J17" s="101"/>
      <c r="K17" s="101"/>
      <c r="L17" s="101"/>
      <c r="M17" s="96">
        <f t="shared" si="2"/>
        <v>0</v>
      </c>
      <c r="N17" s="322">
        <f t="shared" si="3"/>
        <v>0</v>
      </c>
      <c r="P17" s="99"/>
      <c r="Q17" s="98"/>
    </row>
    <row r="18" spans="1:17" x14ac:dyDescent="0.25">
      <c r="A18" s="93">
        <v>14</v>
      </c>
      <c r="B18" s="78"/>
      <c r="C18" s="101"/>
      <c r="D18" s="101"/>
      <c r="E18" s="101"/>
      <c r="F18" s="101"/>
      <c r="G18" s="101"/>
      <c r="H18" s="101"/>
      <c r="I18" s="101"/>
      <c r="J18" s="101"/>
      <c r="K18" s="101"/>
      <c r="L18" s="101"/>
      <c r="M18" s="96">
        <f t="shared" si="2"/>
        <v>0</v>
      </c>
      <c r="N18" s="322">
        <f t="shared" si="3"/>
        <v>0</v>
      </c>
      <c r="P18" s="99"/>
      <c r="Q18" s="98"/>
    </row>
    <row r="19" spans="1:17" x14ac:dyDescent="0.25">
      <c r="A19" s="93">
        <v>15</v>
      </c>
      <c r="B19" s="78"/>
      <c r="C19" s="101"/>
      <c r="D19" s="101"/>
      <c r="E19" s="101"/>
      <c r="F19" s="101"/>
      <c r="G19" s="101"/>
      <c r="H19" s="101"/>
      <c r="I19" s="101"/>
      <c r="J19" s="101"/>
      <c r="K19" s="101"/>
      <c r="L19" s="101"/>
      <c r="M19" s="96">
        <f t="shared" si="2"/>
        <v>0</v>
      </c>
      <c r="N19" s="322">
        <f t="shared" si="3"/>
        <v>0</v>
      </c>
      <c r="O19" s="97"/>
      <c r="P19" s="99"/>
      <c r="Q19" s="98"/>
    </row>
    <row r="20" spans="1:17" x14ac:dyDescent="0.25">
      <c r="A20" s="93">
        <v>16</v>
      </c>
      <c r="B20" s="78"/>
      <c r="C20" s="152"/>
      <c r="D20" s="152"/>
      <c r="E20" s="152"/>
      <c r="F20" s="152"/>
      <c r="G20" s="152"/>
      <c r="H20" s="152"/>
      <c r="I20" s="152"/>
      <c r="J20" s="152"/>
      <c r="K20" s="152"/>
      <c r="L20" s="101"/>
      <c r="M20" s="96">
        <f t="shared" si="2"/>
        <v>0</v>
      </c>
      <c r="N20" s="322">
        <f t="shared" si="3"/>
        <v>0</v>
      </c>
    </row>
    <row r="21" spans="1:17" x14ac:dyDescent="0.25">
      <c r="A21" s="93">
        <v>17</v>
      </c>
      <c r="B21" s="78"/>
      <c r="C21" s="152"/>
      <c r="D21" s="152"/>
      <c r="E21" s="152"/>
      <c r="F21" s="152"/>
      <c r="G21" s="152"/>
      <c r="H21" s="152"/>
      <c r="I21" s="152"/>
      <c r="J21" s="152"/>
      <c r="K21" s="152"/>
      <c r="L21" s="101"/>
      <c r="M21" s="96">
        <f t="shared" si="2"/>
        <v>0</v>
      </c>
      <c r="N21" s="322">
        <f t="shared" si="3"/>
        <v>0</v>
      </c>
    </row>
    <row r="22" spans="1:17" x14ac:dyDescent="0.25">
      <c r="A22" s="93">
        <v>18</v>
      </c>
      <c r="B22" s="78"/>
      <c r="C22" s="101"/>
      <c r="D22" s="101"/>
      <c r="E22" s="101"/>
      <c r="F22" s="101"/>
      <c r="G22" s="101"/>
      <c r="H22" s="101"/>
      <c r="I22" s="152"/>
      <c r="J22" s="101"/>
      <c r="K22" s="101"/>
      <c r="L22" s="101"/>
      <c r="M22" s="96">
        <f t="shared" ref="M22:M68" si="4">SUM(C22:L22)</f>
        <v>0</v>
      </c>
      <c r="N22" s="322">
        <f t="shared" si="3"/>
        <v>0</v>
      </c>
    </row>
    <row r="23" spans="1:17" x14ac:dyDescent="0.25">
      <c r="A23" s="93">
        <v>19</v>
      </c>
      <c r="B23" s="78"/>
      <c r="C23" s="101"/>
      <c r="D23" s="101"/>
      <c r="E23" s="101"/>
      <c r="F23" s="101"/>
      <c r="G23" s="101"/>
      <c r="H23" s="101"/>
      <c r="I23" s="152"/>
      <c r="J23" s="101"/>
      <c r="K23" s="101"/>
      <c r="L23" s="101"/>
      <c r="M23" s="96">
        <f t="shared" si="4"/>
        <v>0</v>
      </c>
      <c r="N23" s="322">
        <f t="shared" si="3"/>
        <v>0</v>
      </c>
    </row>
    <row r="24" spans="1:17" x14ac:dyDescent="0.25">
      <c r="A24" s="93">
        <v>20</v>
      </c>
      <c r="B24" s="94"/>
      <c r="C24" s="100"/>
      <c r="D24" s="100"/>
      <c r="E24" s="100"/>
      <c r="F24" s="100"/>
      <c r="G24" s="100"/>
      <c r="H24" s="100"/>
      <c r="I24" s="152"/>
      <c r="J24" s="100"/>
      <c r="K24" s="100"/>
      <c r="L24" s="100"/>
      <c r="M24" s="96">
        <f t="shared" si="4"/>
        <v>0</v>
      </c>
      <c r="N24" s="322">
        <f t="shared" si="3"/>
        <v>0</v>
      </c>
    </row>
    <row r="25" spans="1:17" x14ac:dyDescent="0.25">
      <c r="A25" s="93">
        <v>21</v>
      </c>
      <c r="B25" s="94"/>
      <c r="C25" s="100"/>
      <c r="D25" s="100"/>
      <c r="E25" s="100"/>
      <c r="F25" s="100"/>
      <c r="G25" s="100"/>
      <c r="H25" s="100"/>
      <c r="I25" s="152"/>
      <c r="J25" s="100"/>
      <c r="K25" s="100"/>
      <c r="L25" s="100"/>
      <c r="M25" s="96">
        <f t="shared" si="4"/>
        <v>0</v>
      </c>
      <c r="N25" s="322">
        <f t="shared" si="3"/>
        <v>0</v>
      </c>
    </row>
    <row r="26" spans="1:17" x14ac:dyDescent="0.25">
      <c r="A26" s="93">
        <v>22</v>
      </c>
      <c r="B26" s="94"/>
      <c r="C26" s="100"/>
      <c r="D26" s="100"/>
      <c r="E26" s="100"/>
      <c r="F26" s="100"/>
      <c r="G26" s="100"/>
      <c r="H26" s="100"/>
      <c r="I26" s="152"/>
      <c r="J26" s="100"/>
      <c r="K26" s="100"/>
      <c r="L26" s="100"/>
      <c r="M26" s="96">
        <f t="shared" si="4"/>
        <v>0</v>
      </c>
      <c r="N26" s="322">
        <f t="shared" si="3"/>
        <v>0</v>
      </c>
    </row>
    <row r="27" spans="1:17" x14ac:dyDescent="0.25">
      <c r="A27" s="93">
        <v>23</v>
      </c>
      <c r="B27" s="94"/>
      <c r="C27" s="100"/>
      <c r="D27" s="100"/>
      <c r="E27" s="100"/>
      <c r="F27" s="100"/>
      <c r="G27" s="100"/>
      <c r="H27" s="100"/>
      <c r="I27" s="152"/>
      <c r="J27" s="100"/>
      <c r="K27" s="100"/>
      <c r="L27" s="100"/>
      <c r="M27" s="96">
        <f t="shared" si="4"/>
        <v>0</v>
      </c>
      <c r="N27" s="322">
        <f t="shared" si="3"/>
        <v>0</v>
      </c>
    </row>
    <row r="28" spans="1:17" x14ac:dyDescent="0.25">
      <c r="A28" s="93">
        <v>24</v>
      </c>
      <c r="B28" s="94"/>
      <c r="C28" s="100"/>
      <c r="D28" s="100"/>
      <c r="E28" s="100"/>
      <c r="F28" s="100"/>
      <c r="G28" s="100"/>
      <c r="H28" s="100"/>
      <c r="I28" s="152"/>
      <c r="J28" s="100"/>
      <c r="K28" s="100"/>
      <c r="L28" s="100"/>
      <c r="M28" s="96">
        <f t="shared" si="4"/>
        <v>0</v>
      </c>
      <c r="N28" s="322">
        <f t="shared" si="3"/>
        <v>0</v>
      </c>
    </row>
    <row r="29" spans="1:17" x14ac:dyDescent="0.25">
      <c r="A29" s="93">
        <v>25</v>
      </c>
      <c r="B29" s="94"/>
      <c r="C29" s="100"/>
      <c r="D29" s="100"/>
      <c r="E29" s="100"/>
      <c r="F29" s="100"/>
      <c r="G29" s="100"/>
      <c r="H29" s="100"/>
      <c r="I29" s="152"/>
      <c r="J29" s="100"/>
      <c r="K29" s="100"/>
      <c r="L29" s="100"/>
      <c r="M29" s="96">
        <f t="shared" si="4"/>
        <v>0</v>
      </c>
      <c r="N29" s="322">
        <f t="shared" si="3"/>
        <v>0</v>
      </c>
    </row>
    <row r="30" spans="1:17" x14ac:dyDescent="0.25">
      <c r="A30" s="93">
        <v>26</v>
      </c>
      <c r="B30" s="94"/>
      <c r="C30" s="101"/>
      <c r="D30" s="101"/>
      <c r="E30" s="101"/>
      <c r="F30" s="101"/>
      <c r="G30" s="101"/>
      <c r="H30" s="101"/>
      <c r="I30" s="152"/>
      <c r="J30" s="101"/>
      <c r="K30" s="101"/>
      <c r="L30" s="101"/>
      <c r="M30" s="96">
        <f t="shared" si="4"/>
        <v>0</v>
      </c>
      <c r="N30" s="322">
        <f t="shared" si="3"/>
        <v>0</v>
      </c>
    </row>
    <row r="31" spans="1:17" x14ac:dyDescent="0.25">
      <c r="A31" s="93">
        <v>27</v>
      </c>
      <c r="B31" s="94"/>
      <c r="C31" s="101"/>
      <c r="D31" s="101"/>
      <c r="E31" s="101"/>
      <c r="F31" s="101"/>
      <c r="G31" s="101"/>
      <c r="H31" s="101"/>
      <c r="I31" s="152"/>
      <c r="J31" s="101"/>
      <c r="K31" s="101"/>
      <c r="L31" s="101"/>
      <c r="M31" s="96">
        <f t="shared" si="4"/>
        <v>0</v>
      </c>
      <c r="N31" s="322">
        <f t="shared" si="3"/>
        <v>0</v>
      </c>
    </row>
    <row r="32" spans="1:17" x14ac:dyDescent="0.25">
      <c r="A32" s="93">
        <v>28</v>
      </c>
      <c r="B32" s="94"/>
      <c r="C32" s="101"/>
      <c r="D32" s="101"/>
      <c r="E32" s="101"/>
      <c r="F32" s="101"/>
      <c r="G32" s="101"/>
      <c r="H32" s="101"/>
      <c r="I32" s="152"/>
      <c r="J32" s="101"/>
      <c r="K32" s="101"/>
      <c r="L32" s="101"/>
      <c r="M32" s="96">
        <f t="shared" si="4"/>
        <v>0</v>
      </c>
      <c r="N32" s="322">
        <f t="shared" si="3"/>
        <v>0</v>
      </c>
    </row>
    <row r="33" spans="1:14" x14ac:dyDescent="0.25">
      <c r="A33" s="93">
        <v>29</v>
      </c>
      <c r="B33" s="94"/>
      <c r="C33" s="101"/>
      <c r="D33" s="101"/>
      <c r="E33" s="101"/>
      <c r="F33" s="101"/>
      <c r="G33" s="101"/>
      <c r="H33" s="101"/>
      <c r="I33" s="152"/>
      <c r="J33" s="101"/>
      <c r="K33" s="101"/>
      <c r="L33" s="101"/>
      <c r="M33" s="96">
        <f t="shared" si="4"/>
        <v>0</v>
      </c>
      <c r="N33" s="322">
        <f t="shared" si="3"/>
        <v>0</v>
      </c>
    </row>
    <row r="34" spans="1:14" x14ac:dyDescent="0.25">
      <c r="A34" s="93">
        <v>30</v>
      </c>
      <c r="B34" s="94"/>
      <c r="C34" s="101"/>
      <c r="D34" s="101"/>
      <c r="E34" s="101"/>
      <c r="F34" s="101"/>
      <c r="G34" s="101"/>
      <c r="H34" s="101"/>
      <c r="I34" s="152"/>
      <c r="J34" s="101"/>
      <c r="K34" s="101"/>
      <c r="L34" s="101"/>
      <c r="M34" s="96">
        <f t="shared" si="4"/>
        <v>0</v>
      </c>
      <c r="N34" s="322">
        <f t="shared" si="3"/>
        <v>0</v>
      </c>
    </row>
    <row r="35" spans="1:14" x14ac:dyDescent="0.25">
      <c r="A35" s="93">
        <v>31</v>
      </c>
      <c r="B35" s="94"/>
      <c r="C35" s="101"/>
      <c r="D35" s="101"/>
      <c r="E35" s="101"/>
      <c r="F35" s="101"/>
      <c r="G35" s="101"/>
      <c r="H35" s="101"/>
      <c r="I35" s="101"/>
      <c r="J35" s="101"/>
      <c r="K35" s="101"/>
      <c r="L35" s="101"/>
      <c r="M35" s="96">
        <f t="shared" si="4"/>
        <v>0</v>
      </c>
      <c r="N35" s="322">
        <f t="shared" si="3"/>
        <v>0</v>
      </c>
    </row>
    <row r="36" spans="1:14" x14ac:dyDescent="0.25">
      <c r="A36" s="93">
        <v>32</v>
      </c>
      <c r="B36" s="94"/>
      <c r="C36" s="101"/>
      <c r="D36" s="101"/>
      <c r="E36" s="101"/>
      <c r="F36" s="101"/>
      <c r="G36" s="101"/>
      <c r="H36" s="101"/>
      <c r="I36" s="101"/>
      <c r="J36" s="101"/>
      <c r="K36" s="101"/>
      <c r="L36" s="101"/>
      <c r="M36" s="96">
        <f t="shared" si="4"/>
        <v>0</v>
      </c>
      <c r="N36" s="322">
        <f t="shared" si="3"/>
        <v>0</v>
      </c>
    </row>
    <row r="37" spans="1:14" x14ac:dyDescent="0.25">
      <c r="A37" s="93">
        <v>33</v>
      </c>
      <c r="B37" s="94"/>
      <c r="C37" s="101"/>
      <c r="D37" s="101"/>
      <c r="E37" s="101"/>
      <c r="F37" s="101"/>
      <c r="G37" s="101"/>
      <c r="H37" s="101"/>
      <c r="I37" s="101"/>
      <c r="J37" s="101"/>
      <c r="K37" s="101"/>
      <c r="L37" s="101"/>
      <c r="M37" s="96">
        <f t="shared" si="4"/>
        <v>0</v>
      </c>
      <c r="N37" s="322">
        <f t="shared" si="3"/>
        <v>0</v>
      </c>
    </row>
    <row r="38" spans="1:14" x14ac:dyDescent="0.25">
      <c r="A38" s="93">
        <v>34</v>
      </c>
      <c r="B38" s="94"/>
      <c r="C38" s="101"/>
      <c r="D38" s="101"/>
      <c r="E38" s="101"/>
      <c r="F38" s="101"/>
      <c r="G38" s="101"/>
      <c r="H38" s="101"/>
      <c r="I38" s="101"/>
      <c r="J38" s="101"/>
      <c r="K38" s="101"/>
      <c r="L38" s="101"/>
      <c r="M38" s="96">
        <f t="shared" si="4"/>
        <v>0</v>
      </c>
      <c r="N38" s="322">
        <f t="shared" si="3"/>
        <v>0</v>
      </c>
    </row>
    <row r="39" spans="1:14" x14ac:dyDescent="0.25">
      <c r="A39" s="93">
        <v>35</v>
      </c>
      <c r="B39" s="94"/>
      <c r="C39" s="101"/>
      <c r="D39" s="101"/>
      <c r="E39" s="101"/>
      <c r="F39" s="101"/>
      <c r="G39" s="101"/>
      <c r="H39" s="101"/>
      <c r="I39" s="101"/>
      <c r="J39" s="101"/>
      <c r="K39" s="101"/>
      <c r="L39" s="101"/>
      <c r="M39" s="96">
        <f t="shared" si="4"/>
        <v>0</v>
      </c>
      <c r="N39" s="322">
        <f t="shared" si="3"/>
        <v>0</v>
      </c>
    </row>
    <row r="40" spans="1:14" x14ac:dyDescent="0.25">
      <c r="A40" s="93">
        <v>36</v>
      </c>
      <c r="B40" s="94"/>
      <c r="C40" s="101"/>
      <c r="D40" s="101"/>
      <c r="E40" s="101"/>
      <c r="F40" s="101"/>
      <c r="G40" s="101"/>
      <c r="H40" s="101"/>
      <c r="I40" s="101"/>
      <c r="J40" s="101"/>
      <c r="K40" s="101"/>
      <c r="L40" s="101"/>
      <c r="M40" s="96">
        <f t="shared" si="4"/>
        <v>0</v>
      </c>
      <c r="N40" s="322">
        <f t="shared" si="3"/>
        <v>0</v>
      </c>
    </row>
    <row r="41" spans="1:14" x14ac:dyDescent="0.25">
      <c r="A41" s="93">
        <v>37</v>
      </c>
      <c r="B41" s="94"/>
      <c r="C41" s="101"/>
      <c r="D41" s="101"/>
      <c r="E41" s="101"/>
      <c r="F41" s="101"/>
      <c r="G41" s="101"/>
      <c r="H41" s="101"/>
      <c r="I41" s="101"/>
      <c r="J41" s="101"/>
      <c r="K41" s="101"/>
      <c r="L41" s="101"/>
      <c r="M41" s="96">
        <f t="shared" si="4"/>
        <v>0</v>
      </c>
      <c r="N41" s="322">
        <f t="shared" si="3"/>
        <v>0</v>
      </c>
    </row>
    <row r="42" spans="1:14" x14ac:dyDescent="0.25">
      <c r="A42" s="93">
        <v>38</v>
      </c>
      <c r="B42" s="94"/>
      <c r="C42" s="101"/>
      <c r="D42" s="101"/>
      <c r="E42" s="101"/>
      <c r="F42" s="101"/>
      <c r="G42" s="101"/>
      <c r="H42" s="101"/>
      <c r="I42" s="101"/>
      <c r="J42" s="101"/>
      <c r="K42" s="101"/>
      <c r="L42" s="101"/>
      <c r="M42" s="96">
        <f t="shared" si="4"/>
        <v>0</v>
      </c>
      <c r="N42" s="322">
        <f t="shared" si="3"/>
        <v>0</v>
      </c>
    </row>
    <row r="43" spans="1:14" x14ac:dyDescent="0.25">
      <c r="A43" s="93">
        <v>39</v>
      </c>
      <c r="B43" s="94"/>
      <c r="C43" s="101"/>
      <c r="D43" s="101"/>
      <c r="E43" s="101"/>
      <c r="F43" s="101"/>
      <c r="G43" s="101"/>
      <c r="H43" s="101"/>
      <c r="I43" s="101"/>
      <c r="J43" s="101"/>
      <c r="K43" s="101"/>
      <c r="L43" s="101"/>
      <c r="M43" s="96">
        <f t="shared" si="4"/>
        <v>0</v>
      </c>
      <c r="N43" s="322">
        <f t="shared" si="3"/>
        <v>0</v>
      </c>
    </row>
    <row r="44" spans="1:14" x14ac:dyDescent="0.25">
      <c r="A44" s="93">
        <v>40</v>
      </c>
      <c r="B44" s="94"/>
      <c r="C44" s="101"/>
      <c r="D44" s="101"/>
      <c r="E44" s="101"/>
      <c r="F44" s="101"/>
      <c r="G44" s="101"/>
      <c r="H44" s="101"/>
      <c r="I44" s="101"/>
      <c r="J44" s="101"/>
      <c r="K44" s="101"/>
      <c r="L44" s="101"/>
      <c r="M44" s="96">
        <f t="shared" si="4"/>
        <v>0</v>
      </c>
      <c r="N44" s="322">
        <f t="shared" si="3"/>
        <v>0</v>
      </c>
    </row>
    <row r="45" spans="1:14" x14ac:dyDescent="0.25">
      <c r="A45" s="93">
        <v>41</v>
      </c>
      <c r="B45" s="94"/>
      <c r="C45" s="101"/>
      <c r="D45" s="101"/>
      <c r="E45" s="101"/>
      <c r="F45" s="101"/>
      <c r="G45" s="101"/>
      <c r="H45" s="101"/>
      <c r="I45" s="101"/>
      <c r="J45" s="101"/>
      <c r="K45" s="101"/>
      <c r="L45" s="101"/>
      <c r="M45" s="96">
        <f t="shared" si="4"/>
        <v>0</v>
      </c>
      <c r="N45" s="322">
        <f t="shared" si="3"/>
        <v>0</v>
      </c>
    </row>
    <row r="46" spans="1:14" x14ac:dyDescent="0.25">
      <c r="A46" s="93">
        <v>42</v>
      </c>
      <c r="B46" s="94"/>
      <c r="C46" s="101"/>
      <c r="D46" s="101"/>
      <c r="E46" s="101"/>
      <c r="F46" s="101"/>
      <c r="G46" s="101"/>
      <c r="H46" s="101"/>
      <c r="I46" s="101"/>
      <c r="J46" s="101"/>
      <c r="K46" s="101"/>
      <c r="L46" s="101"/>
      <c r="M46" s="96">
        <f t="shared" si="4"/>
        <v>0</v>
      </c>
      <c r="N46" s="322">
        <f t="shared" si="3"/>
        <v>0</v>
      </c>
    </row>
    <row r="47" spans="1:14" x14ac:dyDescent="0.25">
      <c r="A47" s="93">
        <v>43</v>
      </c>
      <c r="B47" s="94"/>
      <c r="C47" s="101"/>
      <c r="D47" s="101"/>
      <c r="E47" s="101"/>
      <c r="F47" s="101"/>
      <c r="G47" s="101"/>
      <c r="H47" s="101"/>
      <c r="I47" s="101"/>
      <c r="J47" s="101"/>
      <c r="K47" s="101"/>
      <c r="L47" s="101"/>
      <c r="M47" s="96">
        <f t="shared" si="4"/>
        <v>0</v>
      </c>
      <c r="N47" s="322">
        <f t="shared" si="3"/>
        <v>0</v>
      </c>
    </row>
    <row r="48" spans="1:14" x14ac:dyDescent="0.25">
      <c r="A48" s="93">
        <v>44</v>
      </c>
      <c r="B48" s="94"/>
      <c r="C48" s="101"/>
      <c r="D48" s="101"/>
      <c r="E48" s="101"/>
      <c r="F48" s="101"/>
      <c r="G48" s="101"/>
      <c r="H48" s="101"/>
      <c r="I48" s="101"/>
      <c r="J48" s="101"/>
      <c r="K48" s="101"/>
      <c r="L48" s="101"/>
      <c r="M48" s="96">
        <f t="shared" si="4"/>
        <v>0</v>
      </c>
      <c r="N48" s="322">
        <f t="shared" si="3"/>
        <v>0</v>
      </c>
    </row>
    <row r="49" spans="1:14" x14ac:dyDescent="0.25">
      <c r="A49" s="93">
        <v>45</v>
      </c>
      <c r="B49" s="94"/>
      <c r="C49" s="101"/>
      <c r="D49" s="101"/>
      <c r="E49" s="101"/>
      <c r="F49" s="101"/>
      <c r="G49" s="101"/>
      <c r="H49" s="101"/>
      <c r="I49" s="101"/>
      <c r="J49" s="101"/>
      <c r="K49" s="101"/>
      <c r="L49" s="101"/>
      <c r="M49" s="96">
        <f t="shared" si="4"/>
        <v>0</v>
      </c>
      <c r="N49" s="322">
        <f t="shared" si="3"/>
        <v>0</v>
      </c>
    </row>
    <row r="50" spans="1:14" x14ac:dyDescent="0.25">
      <c r="A50" s="93">
        <v>46</v>
      </c>
      <c r="B50" s="94"/>
      <c r="C50" s="101"/>
      <c r="D50" s="101"/>
      <c r="E50" s="101"/>
      <c r="F50" s="101"/>
      <c r="G50" s="101"/>
      <c r="H50" s="101"/>
      <c r="I50" s="101"/>
      <c r="J50" s="101"/>
      <c r="K50" s="101"/>
      <c r="L50" s="101"/>
      <c r="M50" s="96">
        <f t="shared" si="4"/>
        <v>0</v>
      </c>
      <c r="N50" s="322">
        <f t="shared" si="3"/>
        <v>0</v>
      </c>
    </row>
    <row r="51" spans="1:14" x14ac:dyDescent="0.25">
      <c r="A51" s="93">
        <v>47</v>
      </c>
      <c r="B51" s="94"/>
      <c r="C51" s="101"/>
      <c r="D51" s="101"/>
      <c r="E51" s="101"/>
      <c r="F51" s="101"/>
      <c r="G51" s="101"/>
      <c r="H51" s="101"/>
      <c r="I51" s="101"/>
      <c r="J51" s="101"/>
      <c r="K51" s="101"/>
      <c r="L51" s="101"/>
      <c r="M51" s="96">
        <f t="shared" si="4"/>
        <v>0</v>
      </c>
      <c r="N51" s="322">
        <f t="shared" si="3"/>
        <v>0</v>
      </c>
    </row>
    <row r="52" spans="1:14" x14ac:dyDescent="0.25">
      <c r="A52" s="93">
        <v>48</v>
      </c>
      <c r="B52" s="94"/>
      <c r="C52" s="101"/>
      <c r="D52" s="101"/>
      <c r="E52" s="101"/>
      <c r="F52" s="101"/>
      <c r="G52" s="101"/>
      <c r="H52" s="101"/>
      <c r="I52" s="101"/>
      <c r="J52" s="101"/>
      <c r="K52" s="101"/>
      <c r="L52" s="101"/>
      <c r="M52" s="96">
        <f t="shared" si="4"/>
        <v>0</v>
      </c>
      <c r="N52" s="322">
        <f t="shared" si="3"/>
        <v>0</v>
      </c>
    </row>
    <row r="53" spans="1:14" x14ac:dyDescent="0.25">
      <c r="A53" s="93">
        <v>49</v>
      </c>
      <c r="B53" s="94"/>
      <c r="C53" s="101"/>
      <c r="D53" s="101"/>
      <c r="E53" s="101"/>
      <c r="F53" s="101"/>
      <c r="G53" s="101"/>
      <c r="H53" s="101"/>
      <c r="I53" s="101"/>
      <c r="J53" s="101"/>
      <c r="K53" s="101"/>
      <c r="L53" s="101"/>
      <c r="M53" s="96">
        <f t="shared" si="4"/>
        <v>0</v>
      </c>
      <c r="N53" s="322">
        <f t="shared" si="3"/>
        <v>0</v>
      </c>
    </row>
    <row r="54" spans="1:14" x14ac:dyDescent="0.25">
      <c r="A54" s="93">
        <v>50</v>
      </c>
      <c r="B54" s="94"/>
      <c r="C54" s="101"/>
      <c r="D54" s="101"/>
      <c r="E54" s="101"/>
      <c r="F54" s="101"/>
      <c r="G54" s="101"/>
      <c r="H54" s="101"/>
      <c r="I54" s="101"/>
      <c r="J54" s="101"/>
      <c r="K54" s="101"/>
      <c r="L54" s="101"/>
      <c r="M54" s="96">
        <f t="shared" si="4"/>
        <v>0</v>
      </c>
      <c r="N54" s="322">
        <f t="shared" si="3"/>
        <v>0</v>
      </c>
    </row>
    <row r="55" spans="1:14" x14ac:dyDescent="0.25">
      <c r="A55" s="93">
        <v>51</v>
      </c>
      <c r="B55" s="94"/>
      <c r="C55" s="101"/>
      <c r="D55" s="101"/>
      <c r="E55" s="101"/>
      <c r="F55" s="101"/>
      <c r="G55" s="101"/>
      <c r="H55" s="101"/>
      <c r="I55" s="101"/>
      <c r="J55" s="101"/>
      <c r="K55" s="101"/>
      <c r="L55" s="101"/>
      <c r="M55" s="96">
        <f t="shared" si="4"/>
        <v>0</v>
      </c>
      <c r="N55" s="322">
        <f t="shared" si="3"/>
        <v>0</v>
      </c>
    </row>
    <row r="56" spans="1:14" x14ac:dyDescent="0.25">
      <c r="A56" s="93">
        <v>52</v>
      </c>
      <c r="B56" s="94"/>
      <c r="C56" s="101"/>
      <c r="D56" s="101"/>
      <c r="E56" s="101"/>
      <c r="F56" s="101"/>
      <c r="G56" s="101"/>
      <c r="H56" s="101"/>
      <c r="I56" s="101"/>
      <c r="J56" s="101"/>
      <c r="K56" s="101"/>
      <c r="L56" s="101"/>
      <c r="M56" s="96">
        <f t="shared" si="4"/>
        <v>0</v>
      </c>
      <c r="N56" s="322">
        <f t="shared" si="3"/>
        <v>0</v>
      </c>
    </row>
    <row r="57" spans="1:14" x14ac:dyDescent="0.25">
      <c r="A57" s="93">
        <v>53</v>
      </c>
      <c r="B57" s="94"/>
      <c r="C57" s="101"/>
      <c r="D57" s="101"/>
      <c r="E57" s="101"/>
      <c r="F57" s="101"/>
      <c r="G57" s="101"/>
      <c r="H57" s="101"/>
      <c r="I57" s="101"/>
      <c r="J57" s="101"/>
      <c r="K57" s="101"/>
      <c r="L57" s="101"/>
      <c r="M57" s="96">
        <f t="shared" si="4"/>
        <v>0</v>
      </c>
      <c r="N57" s="322">
        <f t="shared" si="3"/>
        <v>0</v>
      </c>
    </row>
    <row r="58" spans="1:14" x14ac:dyDescent="0.25">
      <c r="A58" s="93">
        <v>54</v>
      </c>
      <c r="B58" s="94"/>
      <c r="C58" s="101"/>
      <c r="D58" s="101"/>
      <c r="E58" s="101"/>
      <c r="F58" s="101"/>
      <c r="G58" s="101"/>
      <c r="H58" s="101"/>
      <c r="I58" s="101"/>
      <c r="J58" s="101"/>
      <c r="K58" s="101"/>
      <c r="L58" s="101"/>
      <c r="M58" s="96">
        <f t="shared" si="4"/>
        <v>0</v>
      </c>
      <c r="N58" s="322">
        <f t="shared" si="3"/>
        <v>0</v>
      </c>
    </row>
    <row r="59" spans="1:14" x14ac:dyDescent="0.25">
      <c r="A59" s="93">
        <v>55</v>
      </c>
      <c r="B59" s="94"/>
      <c r="C59" s="101"/>
      <c r="D59" s="101"/>
      <c r="E59" s="101"/>
      <c r="F59" s="101"/>
      <c r="G59" s="101"/>
      <c r="H59" s="101"/>
      <c r="I59" s="101"/>
      <c r="J59" s="101"/>
      <c r="K59" s="101"/>
      <c r="L59" s="101"/>
      <c r="M59" s="96">
        <f t="shared" si="4"/>
        <v>0</v>
      </c>
      <c r="N59" s="322">
        <f t="shared" si="3"/>
        <v>0</v>
      </c>
    </row>
    <row r="60" spans="1:14" x14ac:dyDescent="0.25">
      <c r="A60" s="93">
        <v>56</v>
      </c>
      <c r="B60" s="94"/>
      <c r="C60" s="101"/>
      <c r="D60" s="101"/>
      <c r="E60" s="101"/>
      <c r="F60" s="101"/>
      <c r="G60" s="101"/>
      <c r="H60" s="101"/>
      <c r="I60" s="101"/>
      <c r="J60" s="101"/>
      <c r="K60" s="101"/>
      <c r="L60" s="101"/>
      <c r="M60" s="96">
        <f t="shared" si="4"/>
        <v>0</v>
      </c>
      <c r="N60" s="322">
        <f t="shared" si="3"/>
        <v>0</v>
      </c>
    </row>
    <row r="61" spans="1:14" x14ac:dyDescent="0.25">
      <c r="A61" s="93">
        <v>57</v>
      </c>
      <c r="B61" s="94"/>
      <c r="C61" s="101"/>
      <c r="D61" s="101"/>
      <c r="E61" s="101"/>
      <c r="F61" s="101"/>
      <c r="G61" s="101"/>
      <c r="H61" s="101"/>
      <c r="I61" s="101"/>
      <c r="J61" s="101"/>
      <c r="K61" s="101"/>
      <c r="L61" s="101"/>
      <c r="M61" s="96">
        <f t="shared" si="4"/>
        <v>0</v>
      </c>
      <c r="N61" s="322">
        <f t="shared" si="3"/>
        <v>0</v>
      </c>
    </row>
    <row r="62" spans="1:14" x14ac:dyDescent="0.25">
      <c r="A62" s="93">
        <v>58</v>
      </c>
      <c r="B62" s="94"/>
      <c r="C62" s="101"/>
      <c r="D62" s="101"/>
      <c r="E62" s="101"/>
      <c r="F62" s="101"/>
      <c r="G62" s="101"/>
      <c r="H62" s="101"/>
      <c r="I62" s="101"/>
      <c r="J62" s="101"/>
      <c r="K62" s="101"/>
      <c r="L62" s="101"/>
      <c r="M62" s="96">
        <f t="shared" si="4"/>
        <v>0</v>
      </c>
      <c r="N62" s="322">
        <f t="shared" si="3"/>
        <v>0</v>
      </c>
    </row>
    <row r="63" spans="1:14" x14ac:dyDescent="0.25">
      <c r="A63" s="93">
        <v>59</v>
      </c>
      <c r="B63" s="94"/>
      <c r="C63" s="101"/>
      <c r="D63" s="101"/>
      <c r="E63" s="101"/>
      <c r="F63" s="101"/>
      <c r="G63" s="101"/>
      <c r="H63" s="101"/>
      <c r="I63" s="101"/>
      <c r="J63" s="101"/>
      <c r="K63" s="101"/>
      <c r="L63" s="101"/>
      <c r="M63" s="96">
        <f t="shared" si="4"/>
        <v>0</v>
      </c>
      <c r="N63" s="322">
        <f t="shared" si="3"/>
        <v>0</v>
      </c>
    </row>
    <row r="64" spans="1:14" x14ac:dyDescent="0.25">
      <c r="A64" s="93">
        <v>60</v>
      </c>
      <c r="B64" s="94"/>
      <c r="C64" s="101"/>
      <c r="D64" s="101"/>
      <c r="E64" s="101"/>
      <c r="F64" s="101"/>
      <c r="G64" s="101"/>
      <c r="H64" s="101"/>
      <c r="I64" s="101"/>
      <c r="J64" s="101"/>
      <c r="K64" s="101"/>
      <c r="L64" s="101"/>
      <c r="M64" s="96">
        <f t="shared" si="4"/>
        <v>0</v>
      </c>
      <c r="N64" s="322">
        <f t="shared" si="3"/>
        <v>0</v>
      </c>
    </row>
    <row r="65" spans="1:14" x14ac:dyDescent="0.25">
      <c r="A65" s="93">
        <v>61</v>
      </c>
      <c r="B65" s="94"/>
      <c r="C65" s="101"/>
      <c r="D65" s="101"/>
      <c r="E65" s="101"/>
      <c r="F65" s="101"/>
      <c r="G65" s="101"/>
      <c r="H65" s="101"/>
      <c r="I65" s="101"/>
      <c r="J65" s="101"/>
      <c r="K65" s="101"/>
      <c r="L65" s="101"/>
      <c r="M65" s="96">
        <f t="shared" si="4"/>
        <v>0</v>
      </c>
      <c r="N65" s="322">
        <f t="shared" si="3"/>
        <v>0</v>
      </c>
    </row>
    <row r="66" spans="1:14" x14ac:dyDescent="0.25">
      <c r="A66" s="93">
        <v>62</v>
      </c>
      <c r="B66" s="94"/>
      <c r="C66" s="101"/>
      <c r="D66" s="101"/>
      <c r="E66" s="101"/>
      <c r="F66" s="101"/>
      <c r="G66" s="101"/>
      <c r="H66" s="101"/>
      <c r="I66" s="101"/>
      <c r="J66" s="101"/>
      <c r="K66" s="101"/>
      <c r="L66" s="101"/>
      <c r="M66" s="96">
        <f t="shared" si="4"/>
        <v>0</v>
      </c>
      <c r="N66" s="322">
        <f t="shared" si="3"/>
        <v>0</v>
      </c>
    </row>
    <row r="67" spans="1:14" x14ac:dyDescent="0.25">
      <c r="A67" s="93">
        <v>63</v>
      </c>
      <c r="B67" s="94"/>
      <c r="C67" s="101"/>
      <c r="D67" s="101"/>
      <c r="E67" s="101"/>
      <c r="F67" s="101"/>
      <c r="G67" s="101"/>
      <c r="H67" s="101"/>
      <c r="I67" s="101"/>
      <c r="J67" s="101"/>
      <c r="K67" s="101"/>
      <c r="L67" s="101"/>
      <c r="M67" s="96">
        <f t="shared" si="4"/>
        <v>0</v>
      </c>
      <c r="N67" s="322">
        <f t="shared" si="3"/>
        <v>0</v>
      </c>
    </row>
    <row r="68" spans="1:14" x14ac:dyDescent="0.25">
      <c r="A68" s="93">
        <v>64</v>
      </c>
      <c r="B68" s="94"/>
      <c r="C68" s="101"/>
      <c r="D68" s="101"/>
      <c r="E68" s="101"/>
      <c r="F68" s="101"/>
      <c r="G68" s="101"/>
      <c r="H68" s="101"/>
      <c r="I68" s="101"/>
      <c r="J68" s="101"/>
      <c r="K68" s="101"/>
      <c r="L68" s="101"/>
      <c r="M68" s="96">
        <f t="shared" si="4"/>
        <v>0</v>
      </c>
      <c r="N68" s="322">
        <f t="shared" ref="N68" si="5">M68-K68-F68</f>
        <v>0</v>
      </c>
    </row>
    <row r="69" spans="1:14" x14ac:dyDescent="0.25">
      <c r="A69" s="86"/>
      <c r="B69" s="102"/>
      <c r="C69" s="102"/>
      <c r="D69" s="102"/>
      <c r="E69" s="102"/>
      <c r="F69" s="102"/>
      <c r="G69" s="102"/>
      <c r="H69" s="102"/>
      <c r="I69" s="102"/>
      <c r="J69" s="102"/>
      <c r="K69" s="102"/>
      <c r="L69" s="102"/>
      <c r="M69" s="103"/>
      <c r="N69" s="320"/>
    </row>
  </sheetData>
  <mergeCells count="6">
    <mergeCell ref="O11:Q16"/>
    <mergeCell ref="B1:M1"/>
    <mergeCell ref="B2:M2"/>
    <mergeCell ref="O4:Q4"/>
    <mergeCell ref="O5:Q7"/>
    <mergeCell ref="O3:Q3"/>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69"/>
  <sheetViews>
    <sheetView showGridLines="0" workbookViewId="0">
      <selection activeCell="I13" sqref="I13"/>
    </sheetView>
  </sheetViews>
  <sheetFormatPr defaultColWidth="8.85546875" defaultRowHeight="15" x14ac:dyDescent="0.25"/>
  <cols>
    <col min="1" max="1" width="3" bestFit="1" customWidth="1"/>
    <col min="2" max="2" width="44.7109375" bestFit="1" customWidth="1"/>
    <col min="3" max="4" width="8.42578125" bestFit="1" customWidth="1"/>
    <col min="5" max="5" width="9.85546875" bestFit="1" customWidth="1"/>
    <col min="6" max="6" width="10.28515625" customWidth="1"/>
    <col min="7" max="7" width="11.140625" bestFit="1" customWidth="1"/>
    <col min="8" max="8" width="11" bestFit="1" customWidth="1"/>
    <col min="9" max="9" width="12" customWidth="1"/>
    <col min="10" max="11" width="10.7109375" bestFit="1" customWidth="1"/>
    <col min="12" max="12" width="17.42578125" bestFit="1" customWidth="1"/>
    <col min="13" max="13" width="9.85546875" customWidth="1"/>
    <col min="14" max="14" width="12" bestFit="1" customWidth="1"/>
    <col min="15" max="15" width="10.42578125" bestFit="1" customWidth="1"/>
    <col min="16" max="16" width="9.42578125" bestFit="1" customWidth="1"/>
    <col min="17" max="17" width="10.42578125" bestFit="1" customWidth="1"/>
    <col min="22" max="22" width="5.140625" bestFit="1" customWidth="1"/>
  </cols>
  <sheetData>
    <row r="1" spans="1:22" s="24" customFormat="1" ht="19.5" customHeight="1" x14ac:dyDescent="0.25">
      <c r="A1" s="105"/>
      <c r="B1" s="419" t="s">
        <v>264</v>
      </c>
      <c r="C1" s="419"/>
      <c r="D1" s="419"/>
      <c r="E1" s="419"/>
      <c r="F1" s="419"/>
      <c r="G1" s="419"/>
      <c r="H1" s="419"/>
      <c r="I1" s="419"/>
      <c r="J1" s="419"/>
      <c r="K1" s="419"/>
      <c r="L1" s="419"/>
      <c r="M1" s="419"/>
    </row>
    <row r="2" spans="1:22" s="24" customFormat="1" ht="12.75" customHeight="1" x14ac:dyDescent="0.25">
      <c r="A2" s="106"/>
      <c r="B2" s="420" t="s">
        <v>115</v>
      </c>
      <c r="C2" s="420"/>
      <c r="D2" s="420"/>
      <c r="E2" s="420"/>
      <c r="F2" s="420"/>
      <c r="G2" s="420"/>
      <c r="H2" s="420"/>
      <c r="I2" s="420"/>
      <c r="J2" s="420"/>
      <c r="K2" s="420"/>
      <c r="L2" s="420"/>
      <c r="M2" s="420"/>
    </row>
    <row r="3" spans="1:22" s="24" customFormat="1" ht="12.75" customHeight="1" x14ac:dyDescent="0.25">
      <c r="A3" s="107"/>
      <c r="B3" s="108" t="s">
        <v>66</v>
      </c>
      <c r="C3" s="109">
        <f>SUM(C5:C68)</f>
        <v>0</v>
      </c>
      <c r="D3" s="109">
        <f t="shared" ref="D3:L3" si="0">SUM(D5:D68)</f>
        <v>0</v>
      </c>
      <c r="E3" s="109">
        <f t="shared" si="0"/>
        <v>0</v>
      </c>
      <c r="F3" s="109">
        <f t="shared" si="0"/>
        <v>0</v>
      </c>
      <c r="G3" s="109">
        <f t="shared" si="0"/>
        <v>0</v>
      </c>
      <c r="H3" s="109">
        <f>SUM(H5:H68)</f>
        <v>0</v>
      </c>
      <c r="I3" s="109">
        <f>SUM(I5:I68)</f>
        <v>0</v>
      </c>
      <c r="J3" s="109">
        <f t="shared" si="0"/>
        <v>0</v>
      </c>
      <c r="K3" s="109">
        <f t="shared" si="0"/>
        <v>0</v>
      </c>
      <c r="L3" s="109">
        <f t="shared" si="0"/>
        <v>0</v>
      </c>
      <c r="M3" s="109">
        <f>SUM(M5:M68)</f>
        <v>0</v>
      </c>
    </row>
    <row r="4" spans="1:22" s="92" customFormat="1" ht="30" x14ac:dyDescent="0.25">
      <c r="A4" s="110" t="s">
        <v>249</v>
      </c>
      <c r="B4" s="111" t="s">
        <v>265</v>
      </c>
      <c r="C4" s="112" t="s">
        <v>251</v>
      </c>
      <c r="D4" s="112" t="s">
        <v>252</v>
      </c>
      <c r="E4" s="112" t="s">
        <v>253</v>
      </c>
      <c r="F4" s="112" t="s">
        <v>254</v>
      </c>
      <c r="G4" s="112" t="s">
        <v>255</v>
      </c>
      <c r="H4" s="112" t="s">
        <v>256</v>
      </c>
      <c r="I4" s="112" t="s">
        <v>257</v>
      </c>
      <c r="J4" s="112" t="s">
        <v>258</v>
      </c>
      <c r="K4" s="113" t="s">
        <v>266</v>
      </c>
      <c r="L4" s="188" t="s">
        <v>142</v>
      </c>
      <c r="M4" s="114" t="s">
        <v>260</v>
      </c>
      <c r="N4" s="24"/>
      <c r="O4" s="24"/>
      <c r="P4" s="24"/>
    </row>
    <row r="5" spans="1:22" x14ac:dyDescent="0.25">
      <c r="A5" s="115">
        <v>1</v>
      </c>
      <c r="B5" s="101"/>
      <c r="C5" s="101"/>
      <c r="D5" s="101"/>
      <c r="E5" s="101"/>
      <c r="F5" s="101"/>
      <c r="G5" s="101"/>
      <c r="H5" s="101"/>
      <c r="I5" s="101"/>
      <c r="J5" s="101"/>
      <c r="K5" s="101"/>
      <c r="L5" s="101"/>
      <c r="M5" s="116">
        <f>SUM(C5:L5)</f>
        <v>0</v>
      </c>
      <c r="N5" s="24"/>
      <c r="O5" s="97"/>
      <c r="P5" s="117"/>
      <c r="Q5" s="117"/>
      <c r="R5" s="117"/>
      <c r="S5" s="117"/>
      <c r="T5" s="117"/>
      <c r="U5" s="117"/>
      <c r="V5" s="117">
        <f t="shared" ref="V5:V11" si="1">I5/43560</f>
        <v>0</v>
      </c>
    </row>
    <row r="6" spans="1:22" x14ac:dyDescent="0.25">
      <c r="A6" s="115">
        <v>2</v>
      </c>
      <c r="B6" s="101"/>
      <c r="C6" s="101"/>
      <c r="D6" s="101"/>
      <c r="E6" s="101"/>
      <c r="F6" s="101"/>
      <c r="G6" s="101"/>
      <c r="H6" s="101"/>
      <c r="I6" s="101"/>
      <c r="J6" s="101"/>
      <c r="K6" s="101"/>
      <c r="L6" s="101"/>
      <c r="M6" s="116">
        <f t="shared" ref="M6:M68" si="2">SUM(C6:L6)</f>
        <v>0</v>
      </c>
      <c r="O6" s="97"/>
      <c r="P6" s="117"/>
      <c r="Q6" s="117"/>
      <c r="R6" s="117"/>
      <c r="S6" s="117"/>
      <c r="T6" s="117"/>
      <c r="U6" s="117"/>
      <c r="V6" s="117">
        <f t="shared" si="1"/>
        <v>0</v>
      </c>
    </row>
    <row r="7" spans="1:22" x14ac:dyDescent="0.25">
      <c r="A7" s="115">
        <v>3</v>
      </c>
      <c r="B7" s="101"/>
      <c r="C7" s="101"/>
      <c r="D7" s="101"/>
      <c r="E7" s="101"/>
      <c r="F7" s="101"/>
      <c r="G7" s="101"/>
      <c r="H7" s="101"/>
      <c r="I7" s="101"/>
      <c r="J7" s="101"/>
      <c r="K7" s="101"/>
      <c r="L7" s="101"/>
      <c r="M7" s="116">
        <f t="shared" si="2"/>
        <v>0</v>
      </c>
      <c r="O7" s="97"/>
      <c r="P7" s="117"/>
      <c r="Q7" s="117"/>
      <c r="R7" s="117"/>
      <c r="S7" s="117"/>
      <c r="T7" s="117"/>
      <c r="U7" s="117"/>
      <c r="V7" s="117">
        <f t="shared" si="1"/>
        <v>0</v>
      </c>
    </row>
    <row r="8" spans="1:22" x14ac:dyDescent="0.25">
      <c r="A8" s="115">
        <v>4</v>
      </c>
      <c r="B8" s="101"/>
      <c r="C8" s="101"/>
      <c r="D8" s="101"/>
      <c r="E8" s="101"/>
      <c r="F8" s="101"/>
      <c r="G8" s="101"/>
      <c r="H8" s="101"/>
      <c r="I8" s="101"/>
      <c r="J8" s="101"/>
      <c r="K8" s="101"/>
      <c r="L8" s="101">
        <v>0</v>
      </c>
      <c r="M8" s="116">
        <f t="shared" si="2"/>
        <v>0</v>
      </c>
      <c r="O8" s="97"/>
      <c r="P8" s="117"/>
      <c r="Q8" s="117"/>
      <c r="R8" s="117"/>
      <c r="S8" s="117"/>
      <c r="T8" s="117"/>
      <c r="U8" s="117"/>
      <c r="V8" s="117">
        <f t="shared" si="1"/>
        <v>0</v>
      </c>
    </row>
    <row r="9" spans="1:22" x14ac:dyDescent="0.25">
      <c r="A9" s="115">
        <v>5</v>
      </c>
      <c r="B9" s="94"/>
      <c r="C9" s="101"/>
      <c r="D9" s="101"/>
      <c r="E9" s="101"/>
      <c r="F9" s="101"/>
      <c r="G9" s="101"/>
      <c r="H9" s="101"/>
      <c r="I9" s="101"/>
      <c r="J9" s="101"/>
      <c r="K9" s="101"/>
      <c r="L9" s="101"/>
      <c r="M9" s="116">
        <f t="shared" si="2"/>
        <v>0</v>
      </c>
      <c r="O9" s="97"/>
      <c r="P9" s="117"/>
      <c r="Q9" s="117"/>
      <c r="R9" s="117"/>
      <c r="S9" s="117"/>
      <c r="T9" s="117"/>
      <c r="U9" s="117"/>
      <c r="V9" s="117">
        <f t="shared" si="1"/>
        <v>0</v>
      </c>
    </row>
    <row r="10" spans="1:22" x14ac:dyDescent="0.25">
      <c r="A10" s="115">
        <v>6</v>
      </c>
      <c r="B10" s="94"/>
      <c r="C10" s="101"/>
      <c r="D10" s="101"/>
      <c r="E10" s="101"/>
      <c r="F10" s="101"/>
      <c r="G10" s="101"/>
      <c r="H10" s="101"/>
      <c r="I10" s="101"/>
      <c r="J10" s="101"/>
      <c r="K10" s="101"/>
      <c r="L10" s="101"/>
      <c r="M10" s="116">
        <f t="shared" si="2"/>
        <v>0</v>
      </c>
      <c r="O10" s="97"/>
      <c r="P10" s="117"/>
      <c r="Q10" s="117"/>
      <c r="R10" s="117"/>
      <c r="S10" s="117"/>
      <c r="T10" s="117"/>
      <c r="U10" s="117"/>
      <c r="V10" s="117">
        <f t="shared" si="1"/>
        <v>0</v>
      </c>
    </row>
    <row r="11" spans="1:22" x14ac:dyDescent="0.25">
      <c r="A11" s="115">
        <v>7</v>
      </c>
      <c r="B11" s="78"/>
      <c r="C11" s="101"/>
      <c r="D11" s="101"/>
      <c r="E11" s="101"/>
      <c r="F11" s="101"/>
      <c r="G11" s="101"/>
      <c r="H11" s="101"/>
      <c r="I11" s="101"/>
      <c r="J11" s="101"/>
      <c r="K11" s="101"/>
      <c r="L11" s="101"/>
      <c r="M11" s="116">
        <f t="shared" si="2"/>
        <v>0</v>
      </c>
      <c r="O11" s="97"/>
      <c r="P11" s="117"/>
      <c r="Q11" s="117"/>
      <c r="R11" s="117"/>
      <c r="S11" s="117"/>
      <c r="T11" s="117"/>
      <c r="U11" s="117"/>
      <c r="V11" s="117">
        <f t="shared" si="1"/>
        <v>0</v>
      </c>
    </row>
    <row r="12" spans="1:22" x14ac:dyDescent="0.25">
      <c r="A12" s="115">
        <v>8</v>
      </c>
      <c r="B12" s="78"/>
      <c r="C12" s="101"/>
      <c r="D12" s="101"/>
      <c r="E12" s="101"/>
      <c r="F12" s="101"/>
      <c r="G12" s="101"/>
      <c r="H12" s="101"/>
      <c r="I12" s="101"/>
      <c r="J12" s="101"/>
      <c r="K12" s="101"/>
      <c r="L12" s="101"/>
      <c r="M12" s="116">
        <f t="shared" si="2"/>
        <v>0</v>
      </c>
      <c r="O12" s="97"/>
      <c r="P12" s="117"/>
      <c r="Q12" s="117"/>
      <c r="R12" s="117"/>
      <c r="S12" s="117"/>
      <c r="T12" s="117"/>
      <c r="U12" s="117"/>
      <c r="V12" s="117">
        <f t="shared" ref="V12:V29" si="3">I12/43560</f>
        <v>0</v>
      </c>
    </row>
    <row r="13" spans="1:22" x14ac:dyDescent="0.25">
      <c r="A13" s="115">
        <v>9</v>
      </c>
      <c r="B13" s="78"/>
      <c r="C13" s="101"/>
      <c r="D13" s="101"/>
      <c r="E13" s="101"/>
      <c r="F13" s="101"/>
      <c r="G13" s="101"/>
      <c r="H13" s="101"/>
      <c r="I13" s="101"/>
      <c r="J13" s="101"/>
      <c r="K13" s="101"/>
      <c r="L13" s="101"/>
      <c r="M13" s="116">
        <f t="shared" si="2"/>
        <v>0</v>
      </c>
      <c r="O13" s="97"/>
      <c r="P13" s="117"/>
      <c r="Q13" s="117"/>
      <c r="R13" s="117"/>
      <c r="S13" s="117"/>
      <c r="T13" s="117"/>
      <c r="U13" s="117"/>
      <c r="V13" s="117">
        <f t="shared" si="3"/>
        <v>0</v>
      </c>
    </row>
    <row r="14" spans="1:22" x14ac:dyDescent="0.25">
      <c r="A14" s="115">
        <v>10</v>
      </c>
      <c r="B14" s="78"/>
      <c r="C14" s="101"/>
      <c r="D14" s="101"/>
      <c r="E14" s="101"/>
      <c r="F14" s="101"/>
      <c r="G14" s="101"/>
      <c r="H14" s="101"/>
      <c r="I14" s="101"/>
      <c r="J14" s="101"/>
      <c r="K14" s="101"/>
      <c r="L14" s="101"/>
      <c r="M14" s="116">
        <f t="shared" si="2"/>
        <v>0</v>
      </c>
      <c r="O14" s="97"/>
      <c r="P14" s="117"/>
      <c r="Q14" s="117"/>
      <c r="R14" s="117"/>
      <c r="S14" s="117"/>
      <c r="T14" s="117"/>
      <c r="U14" s="117"/>
      <c r="V14" s="117">
        <f t="shared" si="3"/>
        <v>0</v>
      </c>
    </row>
    <row r="15" spans="1:22" x14ac:dyDescent="0.25">
      <c r="A15" s="115">
        <v>11</v>
      </c>
      <c r="B15" s="78"/>
      <c r="C15" s="101"/>
      <c r="D15" s="101"/>
      <c r="E15" s="101"/>
      <c r="F15" s="101"/>
      <c r="G15" s="101"/>
      <c r="H15" s="101"/>
      <c r="I15" s="101"/>
      <c r="J15" s="101"/>
      <c r="K15" s="101"/>
      <c r="L15" s="101"/>
      <c r="M15" s="116">
        <f t="shared" si="2"/>
        <v>0</v>
      </c>
      <c r="O15" s="97"/>
      <c r="P15" s="117"/>
      <c r="Q15" s="117"/>
      <c r="R15" s="117"/>
      <c r="S15" s="117"/>
      <c r="T15" s="117"/>
      <c r="U15" s="117"/>
      <c r="V15" s="117">
        <f t="shared" si="3"/>
        <v>0</v>
      </c>
    </row>
    <row r="16" spans="1:22" x14ac:dyDescent="0.25">
      <c r="A16" s="115">
        <v>12</v>
      </c>
      <c r="B16" s="78"/>
      <c r="C16" s="101"/>
      <c r="D16" s="101"/>
      <c r="E16" s="101"/>
      <c r="F16" s="101"/>
      <c r="G16" s="101"/>
      <c r="H16" s="101"/>
      <c r="I16" s="101"/>
      <c r="J16" s="101"/>
      <c r="K16" s="101"/>
      <c r="L16" s="101"/>
      <c r="M16" s="116">
        <f t="shared" si="2"/>
        <v>0</v>
      </c>
      <c r="O16" s="97"/>
      <c r="P16" s="117"/>
      <c r="Q16" s="117"/>
      <c r="R16" s="117"/>
      <c r="S16" s="117"/>
      <c r="T16" s="117"/>
      <c r="U16" s="117"/>
      <c r="V16" s="117">
        <f t="shared" si="3"/>
        <v>0</v>
      </c>
    </row>
    <row r="17" spans="1:22" x14ac:dyDescent="0.25">
      <c r="A17" s="115">
        <v>13</v>
      </c>
      <c r="B17" s="78"/>
      <c r="C17" s="101"/>
      <c r="D17" s="101"/>
      <c r="E17" s="101"/>
      <c r="F17" s="101"/>
      <c r="G17" s="101"/>
      <c r="H17" s="101"/>
      <c r="I17" s="101"/>
      <c r="J17" s="101"/>
      <c r="K17" s="101"/>
      <c r="L17" s="101"/>
      <c r="M17" s="116">
        <f t="shared" si="2"/>
        <v>0</v>
      </c>
      <c r="O17" s="97"/>
      <c r="P17" s="117"/>
      <c r="Q17" s="117"/>
      <c r="R17" s="117"/>
      <c r="S17" s="117"/>
      <c r="T17" s="117"/>
      <c r="U17" s="117"/>
      <c r="V17" s="117">
        <f t="shared" si="3"/>
        <v>0</v>
      </c>
    </row>
    <row r="18" spans="1:22" x14ac:dyDescent="0.25">
      <c r="A18" s="115">
        <v>14</v>
      </c>
      <c r="B18" s="78"/>
      <c r="C18" s="101"/>
      <c r="D18" s="101"/>
      <c r="E18" s="101"/>
      <c r="F18" s="101"/>
      <c r="G18" s="101"/>
      <c r="H18" s="101"/>
      <c r="I18" s="101"/>
      <c r="J18" s="101"/>
      <c r="K18" s="101"/>
      <c r="L18" s="101"/>
      <c r="M18" s="116">
        <f t="shared" si="2"/>
        <v>0</v>
      </c>
      <c r="O18" s="97"/>
      <c r="P18" s="117"/>
      <c r="Q18" s="117"/>
      <c r="R18" s="117"/>
      <c r="S18" s="117"/>
      <c r="T18" s="117"/>
      <c r="U18" s="117"/>
      <c r="V18" s="117">
        <f t="shared" si="3"/>
        <v>0</v>
      </c>
    </row>
    <row r="19" spans="1:22" x14ac:dyDescent="0.25">
      <c r="A19" s="115">
        <v>15</v>
      </c>
      <c r="B19" s="78"/>
      <c r="C19" s="101"/>
      <c r="D19" s="101"/>
      <c r="E19" s="101"/>
      <c r="F19" s="101"/>
      <c r="G19" s="101"/>
      <c r="H19" s="101"/>
      <c r="I19" s="101"/>
      <c r="J19" s="101"/>
      <c r="K19" s="101"/>
      <c r="L19" s="101"/>
      <c r="M19" s="116">
        <f t="shared" si="2"/>
        <v>0</v>
      </c>
      <c r="O19" s="97"/>
      <c r="P19" s="117"/>
      <c r="Q19" s="117"/>
      <c r="R19" s="117"/>
      <c r="S19" s="117"/>
      <c r="T19" s="117"/>
      <c r="U19" s="117"/>
      <c r="V19" s="117">
        <f t="shared" si="3"/>
        <v>0</v>
      </c>
    </row>
    <row r="20" spans="1:22" x14ac:dyDescent="0.25">
      <c r="A20" s="115">
        <v>16</v>
      </c>
      <c r="B20" s="94"/>
      <c r="C20" s="152"/>
      <c r="D20" s="152"/>
      <c r="E20" s="152"/>
      <c r="F20" s="152"/>
      <c r="G20" s="152"/>
      <c r="H20" s="152"/>
      <c r="I20" s="152"/>
      <c r="J20" s="152"/>
      <c r="K20" s="152"/>
      <c r="L20" s="95"/>
      <c r="M20" s="116">
        <f t="shared" si="2"/>
        <v>0</v>
      </c>
      <c r="P20" s="117"/>
      <c r="Q20" s="117"/>
      <c r="R20" s="117"/>
      <c r="S20" s="117"/>
      <c r="T20" s="117"/>
      <c r="U20" s="117"/>
      <c r="V20" s="117">
        <f t="shared" si="3"/>
        <v>0</v>
      </c>
    </row>
    <row r="21" spans="1:22" x14ac:dyDescent="0.25">
      <c r="A21" s="115">
        <v>17</v>
      </c>
      <c r="B21" s="94"/>
      <c r="C21" s="152"/>
      <c r="D21" s="152"/>
      <c r="E21" s="152"/>
      <c r="F21" s="152"/>
      <c r="G21" s="152"/>
      <c r="H21" s="152"/>
      <c r="I21" s="152"/>
      <c r="J21" s="152"/>
      <c r="K21" s="152"/>
      <c r="L21" s="95"/>
      <c r="M21" s="116">
        <f t="shared" si="2"/>
        <v>0</v>
      </c>
      <c r="P21" s="117"/>
      <c r="Q21" s="117"/>
      <c r="R21" s="117"/>
      <c r="S21" s="117"/>
      <c r="T21" s="117"/>
      <c r="U21" s="117"/>
      <c r="V21" s="117">
        <f t="shared" si="3"/>
        <v>0</v>
      </c>
    </row>
    <row r="22" spans="1:22" x14ac:dyDescent="0.25">
      <c r="A22" s="115">
        <v>18</v>
      </c>
      <c r="B22" s="94"/>
      <c r="C22" s="95"/>
      <c r="D22" s="95"/>
      <c r="E22" s="95"/>
      <c r="F22" s="95"/>
      <c r="G22" s="95"/>
      <c r="H22" s="95"/>
      <c r="I22" s="95"/>
      <c r="J22" s="95"/>
      <c r="K22" s="95"/>
      <c r="L22" s="95"/>
      <c r="M22" s="116">
        <f t="shared" si="2"/>
        <v>0</v>
      </c>
      <c r="P22" s="117"/>
      <c r="Q22" s="117"/>
      <c r="R22" s="117"/>
      <c r="S22" s="117"/>
      <c r="T22" s="117"/>
      <c r="U22" s="117"/>
      <c r="V22" s="117">
        <f t="shared" si="3"/>
        <v>0</v>
      </c>
    </row>
    <row r="23" spans="1:22" x14ac:dyDescent="0.25">
      <c r="A23" s="115">
        <v>19</v>
      </c>
      <c r="B23" s="94"/>
      <c r="C23" s="95"/>
      <c r="D23" s="95"/>
      <c r="E23" s="95"/>
      <c r="F23" s="95"/>
      <c r="G23" s="95"/>
      <c r="H23" s="95"/>
      <c r="I23" s="95"/>
      <c r="J23" s="95"/>
      <c r="K23" s="95"/>
      <c r="L23" s="95"/>
      <c r="M23" s="116">
        <f t="shared" si="2"/>
        <v>0</v>
      </c>
      <c r="P23" s="117"/>
      <c r="Q23" s="117"/>
      <c r="R23" s="117"/>
      <c r="S23" s="117"/>
      <c r="T23" s="117"/>
      <c r="U23" s="117"/>
      <c r="V23" s="117">
        <f t="shared" si="3"/>
        <v>0</v>
      </c>
    </row>
    <row r="24" spans="1:22" x14ac:dyDescent="0.25">
      <c r="A24" s="115">
        <v>20</v>
      </c>
      <c r="B24" s="94"/>
      <c r="C24" s="118"/>
      <c r="D24" s="118"/>
      <c r="E24" s="118"/>
      <c r="F24" s="118"/>
      <c r="G24" s="118"/>
      <c r="H24" s="118"/>
      <c r="I24" s="118"/>
      <c r="J24" s="118"/>
      <c r="K24" s="118"/>
      <c r="L24" s="118"/>
      <c r="M24" s="116">
        <f t="shared" si="2"/>
        <v>0</v>
      </c>
      <c r="P24" s="117"/>
      <c r="Q24" s="117"/>
      <c r="R24" s="117"/>
      <c r="S24" s="117"/>
      <c r="T24" s="117"/>
      <c r="U24" s="117"/>
      <c r="V24" s="117">
        <f t="shared" si="3"/>
        <v>0</v>
      </c>
    </row>
    <row r="25" spans="1:22" x14ac:dyDescent="0.25">
      <c r="A25" s="115">
        <v>21</v>
      </c>
      <c r="B25" s="94"/>
      <c r="C25" s="118"/>
      <c r="D25" s="118"/>
      <c r="E25" s="118"/>
      <c r="F25" s="118"/>
      <c r="G25" s="118"/>
      <c r="H25" s="118"/>
      <c r="I25" s="118"/>
      <c r="J25" s="118"/>
      <c r="K25" s="118"/>
      <c r="L25" s="118"/>
      <c r="M25" s="116">
        <f t="shared" si="2"/>
        <v>0</v>
      </c>
      <c r="P25" s="117"/>
      <c r="Q25" s="117"/>
      <c r="R25" s="117"/>
      <c r="S25" s="117"/>
      <c r="T25" s="117"/>
      <c r="U25" s="117"/>
      <c r="V25" s="117">
        <f t="shared" si="3"/>
        <v>0</v>
      </c>
    </row>
    <row r="26" spans="1:22" x14ac:dyDescent="0.25">
      <c r="A26" s="115">
        <v>22</v>
      </c>
      <c r="B26" s="94"/>
      <c r="C26" s="118"/>
      <c r="D26" s="118"/>
      <c r="E26" s="118"/>
      <c r="F26" s="118"/>
      <c r="G26" s="118"/>
      <c r="H26" s="118"/>
      <c r="I26" s="118"/>
      <c r="J26" s="118"/>
      <c r="K26" s="118"/>
      <c r="L26" s="118"/>
      <c r="M26" s="116">
        <f t="shared" si="2"/>
        <v>0</v>
      </c>
      <c r="P26" s="117"/>
      <c r="Q26" s="117"/>
      <c r="R26" s="117"/>
      <c r="S26" s="117"/>
      <c r="T26" s="117"/>
      <c r="U26" s="117"/>
      <c r="V26" s="117">
        <f t="shared" si="3"/>
        <v>0</v>
      </c>
    </row>
    <row r="27" spans="1:22" x14ac:dyDescent="0.25">
      <c r="A27" s="115">
        <v>23</v>
      </c>
      <c r="B27" s="94"/>
      <c r="C27" s="118"/>
      <c r="D27" s="118"/>
      <c r="E27" s="118"/>
      <c r="F27" s="118"/>
      <c r="G27" s="118"/>
      <c r="H27" s="118"/>
      <c r="I27" s="118"/>
      <c r="J27" s="118"/>
      <c r="K27" s="118"/>
      <c r="L27" s="118"/>
      <c r="M27" s="116">
        <f t="shared" si="2"/>
        <v>0</v>
      </c>
      <c r="P27" s="117"/>
      <c r="Q27" s="117"/>
      <c r="R27" s="117"/>
      <c r="S27" s="117"/>
      <c r="T27" s="117"/>
      <c r="U27" s="117"/>
      <c r="V27" s="117">
        <f t="shared" si="3"/>
        <v>0</v>
      </c>
    </row>
    <row r="28" spans="1:22" x14ac:dyDescent="0.25">
      <c r="A28" s="115">
        <v>24</v>
      </c>
      <c r="B28" s="94"/>
      <c r="C28" s="118"/>
      <c r="D28" s="118"/>
      <c r="E28" s="118"/>
      <c r="F28" s="118"/>
      <c r="G28" s="118"/>
      <c r="H28" s="118"/>
      <c r="I28" s="118"/>
      <c r="J28" s="118"/>
      <c r="K28" s="118"/>
      <c r="L28" s="118"/>
      <c r="M28" s="116">
        <f t="shared" si="2"/>
        <v>0</v>
      </c>
      <c r="P28" s="117"/>
      <c r="Q28" s="117"/>
      <c r="R28" s="117"/>
      <c r="S28" s="117"/>
      <c r="T28" s="117"/>
      <c r="U28" s="117"/>
      <c r="V28" s="117">
        <f t="shared" si="3"/>
        <v>0</v>
      </c>
    </row>
    <row r="29" spans="1:22" x14ac:dyDescent="0.25">
      <c r="A29" s="115">
        <v>25</v>
      </c>
      <c r="B29" s="94"/>
      <c r="C29" s="118"/>
      <c r="D29" s="118"/>
      <c r="E29" s="118"/>
      <c r="F29" s="118"/>
      <c r="G29" s="118"/>
      <c r="H29" s="118"/>
      <c r="I29" s="118"/>
      <c r="J29" s="118"/>
      <c r="K29" s="118"/>
      <c r="L29" s="118"/>
      <c r="M29" s="116">
        <f t="shared" si="2"/>
        <v>0</v>
      </c>
      <c r="P29" s="117"/>
      <c r="Q29" s="117"/>
      <c r="R29" s="117"/>
      <c r="S29" s="117"/>
      <c r="T29" s="117"/>
      <c r="U29" s="117"/>
      <c r="V29" s="117">
        <f t="shared" si="3"/>
        <v>0</v>
      </c>
    </row>
    <row r="30" spans="1:22" x14ac:dyDescent="0.25">
      <c r="A30" s="115">
        <v>26</v>
      </c>
      <c r="B30" s="94"/>
      <c r="C30" s="95"/>
      <c r="D30" s="95"/>
      <c r="E30" s="95"/>
      <c r="F30" s="95"/>
      <c r="G30" s="95"/>
      <c r="H30" s="95"/>
      <c r="I30" s="95"/>
      <c r="J30" s="95"/>
      <c r="K30" s="95"/>
      <c r="L30" s="95"/>
      <c r="M30" s="116">
        <f t="shared" si="2"/>
        <v>0</v>
      </c>
    </row>
    <row r="31" spans="1:22" x14ac:dyDescent="0.25">
      <c r="A31" s="115">
        <v>27</v>
      </c>
      <c r="B31" s="94"/>
      <c r="C31" s="95"/>
      <c r="D31" s="95"/>
      <c r="E31" s="95"/>
      <c r="F31" s="95"/>
      <c r="G31" s="95"/>
      <c r="H31" s="95"/>
      <c r="I31" s="95"/>
      <c r="J31" s="95"/>
      <c r="K31" s="95"/>
      <c r="L31" s="95"/>
      <c r="M31" s="116">
        <f t="shared" si="2"/>
        <v>0</v>
      </c>
    </row>
    <row r="32" spans="1:22" x14ac:dyDescent="0.25">
      <c r="A32" s="115">
        <v>28</v>
      </c>
      <c r="B32" s="94"/>
      <c r="C32" s="95"/>
      <c r="D32" s="95"/>
      <c r="E32" s="95"/>
      <c r="F32" s="95"/>
      <c r="G32" s="95"/>
      <c r="H32" s="95"/>
      <c r="I32" s="95"/>
      <c r="J32" s="95"/>
      <c r="K32" s="95"/>
      <c r="L32" s="95"/>
      <c r="M32" s="116">
        <f t="shared" si="2"/>
        <v>0</v>
      </c>
    </row>
    <row r="33" spans="1:13" x14ac:dyDescent="0.25">
      <c r="A33" s="115">
        <v>29</v>
      </c>
      <c r="B33" s="94"/>
      <c r="C33" s="95"/>
      <c r="D33" s="95"/>
      <c r="E33" s="95"/>
      <c r="F33" s="95"/>
      <c r="G33" s="95"/>
      <c r="H33" s="95"/>
      <c r="I33" s="95"/>
      <c r="J33" s="95"/>
      <c r="K33" s="95"/>
      <c r="L33" s="95"/>
      <c r="M33" s="116">
        <f t="shared" si="2"/>
        <v>0</v>
      </c>
    </row>
    <row r="34" spans="1:13" x14ac:dyDescent="0.25">
      <c r="A34" s="115">
        <v>30</v>
      </c>
      <c r="B34" s="94"/>
      <c r="C34" s="95"/>
      <c r="D34" s="95"/>
      <c r="E34" s="95"/>
      <c r="F34" s="95"/>
      <c r="G34" s="95"/>
      <c r="H34" s="95"/>
      <c r="I34" s="95"/>
      <c r="J34" s="95"/>
      <c r="K34" s="95"/>
      <c r="L34" s="95"/>
      <c r="M34" s="116">
        <f t="shared" si="2"/>
        <v>0</v>
      </c>
    </row>
    <row r="35" spans="1:13" x14ac:dyDescent="0.25">
      <c r="A35" s="115">
        <v>31</v>
      </c>
      <c r="B35" s="94"/>
      <c r="C35" s="95"/>
      <c r="D35" s="95"/>
      <c r="E35" s="95"/>
      <c r="F35" s="95"/>
      <c r="G35" s="95"/>
      <c r="H35" s="95"/>
      <c r="I35" s="95"/>
      <c r="J35" s="95"/>
      <c r="K35" s="95"/>
      <c r="L35" s="95"/>
      <c r="M35" s="116">
        <f t="shared" si="2"/>
        <v>0</v>
      </c>
    </row>
    <row r="36" spans="1:13" x14ac:dyDescent="0.25">
      <c r="A36" s="115">
        <v>32</v>
      </c>
      <c r="B36" s="94"/>
      <c r="C36" s="95"/>
      <c r="D36" s="95"/>
      <c r="E36" s="95"/>
      <c r="F36" s="95"/>
      <c r="G36" s="95"/>
      <c r="H36" s="95"/>
      <c r="I36" s="95"/>
      <c r="J36" s="95"/>
      <c r="K36" s="95"/>
      <c r="L36" s="95"/>
      <c r="M36" s="116">
        <f t="shared" si="2"/>
        <v>0</v>
      </c>
    </row>
    <row r="37" spans="1:13" x14ac:dyDescent="0.25">
      <c r="A37" s="115">
        <v>33</v>
      </c>
      <c r="B37" s="94"/>
      <c r="C37" s="95"/>
      <c r="D37" s="95"/>
      <c r="E37" s="95"/>
      <c r="F37" s="95"/>
      <c r="G37" s="95"/>
      <c r="H37" s="95"/>
      <c r="I37" s="95"/>
      <c r="J37" s="95"/>
      <c r="K37" s="95"/>
      <c r="L37" s="95"/>
      <c r="M37" s="116">
        <f t="shared" si="2"/>
        <v>0</v>
      </c>
    </row>
    <row r="38" spans="1:13" x14ac:dyDescent="0.25">
      <c r="A38" s="115">
        <v>34</v>
      </c>
      <c r="B38" s="94"/>
      <c r="C38" s="95"/>
      <c r="D38" s="95"/>
      <c r="E38" s="95"/>
      <c r="F38" s="95"/>
      <c r="G38" s="95"/>
      <c r="H38" s="95"/>
      <c r="I38" s="95"/>
      <c r="J38" s="95"/>
      <c r="K38" s="95"/>
      <c r="L38" s="95"/>
      <c r="M38" s="116">
        <f t="shared" si="2"/>
        <v>0</v>
      </c>
    </row>
    <row r="39" spans="1:13" x14ac:dyDescent="0.25">
      <c r="A39" s="115">
        <v>35</v>
      </c>
      <c r="B39" s="94"/>
      <c r="C39" s="95"/>
      <c r="D39" s="95"/>
      <c r="E39" s="95"/>
      <c r="F39" s="95"/>
      <c r="G39" s="95"/>
      <c r="H39" s="95"/>
      <c r="I39" s="95"/>
      <c r="J39" s="95"/>
      <c r="K39" s="95"/>
      <c r="L39" s="95"/>
      <c r="M39" s="116">
        <f t="shared" si="2"/>
        <v>0</v>
      </c>
    </row>
    <row r="40" spans="1:13" x14ac:dyDescent="0.25">
      <c r="A40" s="115">
        <v>36</v>
      </c>
      <c r="B40" s="94"/>
      <c r="C40" s="95"/>
      <c r="D40" s="95"/>
      <c r="E40" s="95"/>
      <c r="F40" s="95"/>
      <c r="G40" s="95"/>
      <c r="H40" s="95"/>
      <c r="I40" s="95"/>
      <c r="J40" s="95"/>
      <c r="K40" s="95"/>
      <c r="L40" s="95"/>
      <c r="M40" s="116">
        <f t="shared" si="2"/>
        <v>0</v>
      </c>
    </row>
    <row r="41" spans="1:13" x14ac:dyDescent="0.25">
      <c r="A41" s="115">
        <v>37</v>
      </c>
      <c r="B41" s="94"/>
      <c r="C41" s="95"/>
      <c r="D41" s="95"/>
      <c r="E41" s="95"/>
      <c r="F41" s="95"/>
      <c r="G41" s="95"/>
      <c r="H41" s="95"/>
      <c r="I41" s="95"/>
      <c r="J41" s="95"/>
      <c r="K41" s="95"/>
      <c r="L41" s="95"/>
      <c r="M41" s="116">
        <f t="shared" si="2"/>
        <v>0</v>
      </c>
    </row>
    <row r="42" spans="1:13" x14ac:dyDescent="0.25">
      <c r="A42" s="115">
        <v>38</v>
      </c>
      <c r="B42" s="94"/>
      <c r="C42" s="95"/>
      <c r="D42" s="95"/>
      <c r="E42" s="95"/>
      <c r="F42" s="95"/>
      <c r="G42" s="95"/>
      <c r="H42" s="95"/>
      <c r="I42" s="95"/>
      <c r="J42" s="95"/>
      <c r="K42" s="95"/>
      <c r="L42" s="95"/>
      <c r="M42" s="116">
        <f t="shared" si="2"/>
        <v>0</v>
      </c>
    </row>
    <row r="43" spans="1:13" x14ac:dyDescent="0.25">
      <c r="A43" s="115">
        <v>39</v>
      </c>
      <c r="B43" s="94"/>
      <c r="C43" s="95"/>
      <c r="D43" s="95"/>
      <c r="E43" s="95"/>
      <c r="F43" s="95"/>
      <c r="G43" s="95"/>
      <c r="H43" s="95"/>
      <c r="I43" s="95"/>
      <c r="J43" s="95"/>
      <c r="K43" s="95"/>
      <c r="L43" s="95"/>
      <c r="M43" s="116">
        <f t="shared" si="2"/>
        <v>0</v>
      </c>
    </row>
    <row r="44" spans="1:13" x14ac:dyDescent="0.25">
      <c r="A44" s="115">
        <v>40</v>
      </c>
      <c r="B44" s="94"/>
      <c r="C44" s="95"/>
      <c r="D44" s="95"/>
      <c r="E44" s="95"/>
      <c r="F44" s="95"/>
      <c r="G44" s="95"/>
      <c r="H44" s="95"/>
      <c r="I44" s="95"/>
      <c r="J44" s="95"/>
      <c r="K44" s="95"/>
      <c r="L44" s="95"/>
      <c r="M44" s="116">
        <f t="shared" si="2"/>
        <v>0</v>
      </c>
    </row>
    <row r="45" spans="1:13" x14ac:dyDescent="0.25">
      <c r="A45" s="115">
        <v>41</v>
      </c>
      <c r="B45" s="94"/>
      <c r="C45" s="95"/>
      <c r="D45" s="95"/>
      <c r="E45" s="95"/>
      <c r="F45" s="95"/>
      <c r="G45" s="95"/>
      <c r="H45" s="95"/>
      <c r="I45" s="95"/>
      <c r="J45" s="95"/>
      <c r="K45" s="95"/>
      <c r="L45" s="95"/>
      <c r="M45" s="116">
        <f t="shared" si="2"/>
        <v>0</v>
      </c>
    </row>
    <row r="46" spans="1:13" x14ac:dyDescent="0.25">
      <c r="A46" s="115">
        <v>42</v>
      </c>
      <c r="B46" s="94"/>
      <c r="C46" s="95"/>
      <c r="D46" s="95"/>
      <c r="E46" s="95"/>
      <c r="F46" s="95"/>
      <c r="G46" s="95"/>
      <c r="H46" s="95"/>
      <c r="I46" s="95"/>
      <c r="J46" s="95"/>
      <c r="K46" s="95"/>
      <c r="L46" s="95"/>
      <c r="M46" s="116">
        <f t="shared" si="2"/>
        <v>0</v>
      </c>
    </row>
    <row r="47" spans="1:13" x14ac:dyDescent="0.25">
      <c r="A47" s="115">
        <v>43</v>
      </c>
      <c r="B47" s="94"/>
      <c r="C47" s="95"/>
      <c r="D47" s="95"/>
      <c r="E47" s="95"/>
      <c r="F47" s="95"/>
      <c r="G47" s="95"/>
      <c r="H47" s="95"/>
      <c r="I47" s="95"/>
      <c r="J47" s="95"/>
      <c r="K47" s="95"/>
      <c r="L47" s="95"/>
      <c r="M47" s="116">
        <f t="shared" si="2"/>
        <v>0</v>
      </c>
    </row>
    <row r="48" spans="1:13" x14ac:dyDescent="0.25">
      <c r="A48" s="115">
        <v>44</v>
      </c>
      <c r="B48" s="94"/>
      <c r="C48" s="95"/>
      <c r="D48" s="95"/>
      <c r="E48" s="95"/>
      <c r="F48" s="95"/>
      <c r="G48" s="95"/>
      <c r="H48" s="95"/>
      <c r="I48" s="95"/>
      <c r="J48" s="95"/>
      <c r="K48" s="95"/>
      <c r="L48" s="95"/>
      <c r="M48" s="116">
        <f t="shared" si="2"/>
        <v>0</v>
      </c>
    </row>
    <row r="49" spans="1:13" x14ac:dyDescent="0.25">
      <c r="A49" s="115">
        <v>45</v>
      </c>
      <c r="B49" s="94"/>
      <c r="C49" s="95"/>
      <c r="D49" s="95"/>
      <c r="E49" s="95"/>
      <c r="F49" s="95"/>
      <c r="G49" s="95"/>
      <c r="H49" s="95"/>
      <c r="I49" s="95"/>
      <c r="J49" s="95"/>
      <c r="K49" s="95"/>
      <c r="L49" s="95"/>
      <c r="M49" s="116">
        <f t="shared" si="2"/>
        <v>0</v>
      </c>
    </row>
    <row r="50" spans="1:13" x14ac:dyDescent="0.25">
      <c r="A50" s="115">
        <v>46</v>
      </c>
      <c r="B50" s="94"/>
      <c r="C50" s="95"/>
      <c r="D50" s="95"/>
      <c r="E50" s="95"/>
      <c r="F50" s="95"/>
      <c r="G50" s="95"/>
      <c r="H50" s="95"/>
      <c r="I50" s="95"/>
      <c r="J50" s="95"/>
      <c r="K50" s="95"/>
      <c r="L50" s="95"/>
      <c r="M50" s="116">
        <f t="shared" si="2"/>
        <v>0</v>
      </c>
    </row>
    <row r="51" spans="1:13" x14ac:dyDescent="0.25">
      <c r="A51" s="115">
        <v>47</v>
      </c>
      <c r="B51" s="94"/>
      <c r="C51" s="95"/>
      <c r="D51" s="95"/>
      <c r="E51" s="95"/>
      <c r="F51" s="95"/>
      <c r="G51" s="95"/>
      <c r="H51" s="95"/>
      <c r="I51" s="95"/>
      <c r="J51" s="95"/>
      <c r="K51" s="95"/>
      <c r="L51" s="95"/>
      <c r="M51" s="116">
        <f t="shared" si="2"/>
        <v>0</v>
      </c>
    </row>
    <row r="52" spans="1:13" x14ac:dyDescent="0.25">
      <c r="A52" s="115">
        <v>48</v>
      </c>
      <c r="B52" s="94"/>
      <c r="C52" s="95"/>
      <c r="D52" s="95"/>
      <c r="E52" s="95"/>
      <c r="F52" s="95"/>
      <c r="G52" s="95"/>
      <c r="H52" s="95"/>
      <c r="I52" s="95"/>
      <c r="J52" s="95"/>
      <c r="K52" s="95"/>
      <c r="L52" s="95"/>
      <c r="M52" s="116">
        <f t="shared" si="2"/>
        <v>0</v>
      </c>
    </row>
    <row r="53" spans="1:13" x14ac:dyDescent="0.25">
      <c r="A53" s="115">
        <v>49</v>
      </c>
      <c r="B53" s="94"/>
      <c r="C53" s="95"/>
      <c r="D53" s="95"/>
      <c r="E53" s="95"/>
      <c r="F53" s="95"/>
      <c r="G53" s="95"/>
      <c r="H53" s="95"/>
      <c r="I53" s="95"/>
      <c r="J53" s="95"/>
      <c r="K53" s="95"/>
      <c r="L53" s="95"/>
      <c r="M53" s="116">
        <f t="shared" si="2"/>
        <v>0</v>
      </c>
    </row>
    <row r="54" spans="1:13" x14ac:dyDescent="0.25">
      <c r="A54" s="115">
        <v>50</v>
      </c>
      <c r="B54" s="94"/>
      <c r="C54" s="95"/>
      <c r="D54" s="95"/>
      <c r="E54" s="95"/>
      <c r="F54" s="95"/>
      <c r="G54" s="95"/>
      <c r="H54" s="95"/>
      <c r="I54" s="95"/>
      <c r="J54" s="95"/>
      <c r="K54" s="95"/>
      <c r="L54" s="95"/>
      <c r="M54" s="116">
        <f t="shared" si="2"/>
        <v>0</v>
      </c>
    </row>
    <row r="55" spans="1:13" x14ac:dyDescent="0.25">
      <c r="A55" s="115">
        <v>51</v>
      </c>
      <c r="B55" s="94"/>
      <c r="C55" s="95"/>
      <c r="D55" s="95"/>
      <c r="E55" s="95"/>
      <c r="F55" s="95"/>
      <c r="G55" s="95"/>
      <c r="H55" s="95"/>
      <c r="I55" s="95"/>
      <c r="J55" s="95"/>
      <c r="K55" s="95"/>
      <c r="L55" s="95"/>
      <c r="M55" s="116">
        <f t="shared" si="2"/>
        <v>0</v>
      </c>
    </row>
    <row r="56" spans="1:13" x14ac:dyDescent="0.25">
      <c r="A56" s="115">
        <v>52</v>
      </c>
      <c r="B56" s="94"/>
      <c r="C56" s="95"/>
      <c r="D56" s="95"/>
      <c r="E56" s="95"/>
      <c r="F56" s="95"/>
      <c r="G56" s="95"/>
      <c r="H56" s="95"/>
      <c r="I56" s="95"/>
      <c r="J56" s="95"/>
      <c r="K56" s="95"/>
      <c r="L56" s="95"/>
      <c r="M56" s="116">
        <f t="shared" si="2"/>
        <v>0</v>
      </c>
    </row>
    <row r="57" spans="1:13" x14ac:dyDescent="0.25">
      <c r="A57" s="115">
        <v>53</v>
      </c>
      <c r="B57" s="94"/>
      <c r="C57" s="95"/>
      <c r="D57" s="95"/>
      <c r="E57" s="95"/>
      <c r="F57" s="95"/>
      <c r="G57" s="95"/>
      <c r="H57" s="95"/>
      <c r="I57" s="95"/>
      <c r="J57" s="95"/>
      <c r="K57" s="95"/>
      <c r="L57" s="95"/>
      <c r="M57" s="116">
        <f t="shared" si="2"/>
        <v>0</v>
      </c>
    </row>
    <row r="58" spans="1:13" x14ac:dyDescent="0.25">
      <c r="A58" s="115">
        <v>54</v>
      </c>
      <c r="B58" s="94"/>
      <c r="C58" s="95"/>
      <c r="D58" s="95"/>
      <c r="E58" s="95"/>
      <c r="F58" s="95"/>
      <c r="G58" s="95"/>
      <c r="H58" s="95"/>
      <c r="I58" s="95"/>
      <c r="J58" s="95"/>
      <c r="K58" s="95"/>
      <c r="L58" s="95"/>
      <c r="M58" s="116">
        <f t="shared" si="2"/>
        <v>0</v>
      </c>
    </row>
    <row r="59" spans="1:13" x14ac:dyDescent="0.25">
      <c r="A59" s="115">
        <v>55</v>
      </c>
      <c r="B59" s="94"/>
      <c r="C59" s="95"/>
      <c r="D59" s="95"/>
      <c r="E59" s="95"/>
      <c r="F59" s="95"/>
      <c r="G59" s="95"/>
      <c r="H59" s="95"/>
      <c r="I59" s="95"/>
      <c r="J59" s="95"/>
      <c r="K59" s="95"/>
      <c r="L59" s="95"/>
      <c r="M59" s="116">
        <f t="shared" si="2"/>
        <v>0</v>
      </c>
    </row>
    <row r="60" spans="1:13" x14ac:dyDescent="0.25">
      <c r="A60" s="115">
        <v>56</v>
      </c>
      <c r="B60" s="94"/>
      <c r="C60" s="95"/>
      <c r="D60" s="95"/>
      <c r="E60" s="95"/>
      <c r="F60" s="95"/>
      <c r="G60" s="95"/>
      <c r="H60" s="95"/>
      <c r="I60" s="95"/>
      <c r="J60" s="95"/>
      <c r="K60" s="95"/>
      <c r="L60" s="95"/>
      <c r="M60" s="116">
        <f t="shared" si="2"/>
        <v>0</v>
      </c>
    </row>
    <row r="61" spans="1:13" x14ac:dyDescent="0.25">
      <c r="A61" s="115">
        <v>57</v>
      </c>
      <c r="B61" s="94"/>
      <c r="C61" s="95"/>
      <c r="D61" s="95"/>
      <c r="E61" s="95"/>
      <c r="F61" s="95"/>
      <c r="G61" s="95"/>
      <c r="H61" s="95"/>
      <c r="I61" s="95"/>
      <c r="J61" s="95"/>
      <c r="K61" s="95"/>
      <c r="L61" s="95"/>
      <c r="M61" s="116">
        <f t="shared" si="2"/>
        <v>0</v>
      </c>
    </row>
    <row r="62" spans="1:13" x14ac:dyDescent="0.25">
      <c r="A62" s="115">
        <v>58</v>
      </c>
      <c r="B62" s="94"/>
      <c r="C62" s="95"/>
      <c r="D62" s="95"/>
      <c r="E62" s="95"/>
      <c r="F62" s="95"/>
      <c r="G62" s="95"/>
      <c r="H62" s="95"/>
      <c r="I62" s="95"/>
      <c r="J62" s="95"/>
      <c r="K62" s="95"/>
      <c r="L62" s="95"/>
      <c r="M62" s="116">
        <f t="shared" si="2"/>
        <v>0</v>
      </c>
    </row>
    <row r="63" spans="1:13" x14ac:dyDescent="0.25">
      <c r="A63" s="115">
        <v>59</v>
      </c>
      <c r="B63" s="94"/>
      <c r="C63" s="95"/>
      <c r="D63" s="95"/>
      <c r="E63" s="95"/>
      <c r="F63" s="95"/>
      <c r="G63" s="95"/>
      <c r="H63" s="95"/>
      <c r="I63" s="95"/>
      <c r="J63" s="95"/>
      <c r="K63" s="95"/>
      <c r="L63" s="95"/>
      <c r="M63" s="116">
        <f t="shared" si="2"/>
        <v>0</v>
      </c>
    </row>
    <row r="64" spans="1:13" x14ac:dyDescent="0.25">
      <c r="A64" s="115">
        <v>60</v>
      </c>
      <c r="B64" s="94"/>
      <c r="C64" s="95"/>
      <c r="D64" s="95"/>
      <c r="E64" s="95"/>
      <c r="F64" s="95"/>
      <c r="G64" s="95"/>
      <c r="H64" s="95"/>
      <c r="I64" s="95"/>
      <c r="J64" s="95"/>
      <c r="K64" s="95"/>
      <c r="L64" s="95"/>
      <c r="M64" s="116">
        <f t="shared" si="2"/>
        <v>0</v>
      </c>
    </row>
    <row r="65" spans="1:13" x14ac:dyDescent="0.25">
      <c r="A65" s="115">
        <v>61</v>
      </c>
      <c r="B65" s="94"/>
      <c r="C65" s="95"/>
      <c r="D65" s="95"/>
      <c r="E65" s="95"/>
      <c r="F65" s="95"/>
      <c r="G65" s="95"/>
      <c r="H65" s="95"/>
      <c r="I65" s="95"/>
      <c r="J65" s="95"/>
      <c r="K65" s="95"/>
      <c r="L65" s="95"/>
      <c r="M65" s="116">
        <f t="shared" si="2"/>
        <v>0</v>
      </c>
    </row>
    <row r="66" spans="1:13" x14ac:dyDescent="0.25">
      <c r="A66" s="115">
        <v>62</v>
      </c>
      <c r="B66" s="94"/>
      <c r="C66" s="95"/>
      <c r="D66" s="95"/>
      <c r="E66" s="95"/>
      <c r="F66" s="95"/>
      <c r="G66" s="95"/>
      <c r="H66" s="95"/>
      <c r="I66" s="95"/>
      <c r="J66" s="95"/>
      <c r="K66" s="95"/>
      <c r="L66" s="95"/>
      <c r="M66" s="116">
        <f t="shared" si="2"/>
        <v>0</v>
      </c>
    </row>
    <row r="67" spans="1:13" x14ac:dyDescent="0.25">
      <c r="A67" s="115">
        <v>63</v>
      </c>
      <c r="B67" s="94"/>
      <c r="C67" s="95"/>
      <c r="D67" s="95"/>
      <c r="E67" s="95"/>
      <c r="F67" s="95"/>
      <c r="G67" s="95"/>
      <c r="H67" s="95"/>
      <c r="I67" s="95"/>
      <c r="J67" s="95"/>
      <c r="K67" s="95"/>
      <c r="L67" s="95"/>
      <c r="M67" s="116">
        <f t="shared" si="2"/>
        <v>0</v>
      </c>
    </row>
    <row r="68" spans="1:13" x14ac:dyDescent="0.25">
      <c r="A68" s="115">
        <v>64</v>
      </c>
      <c r="B68" s="94"/>
      <c r="C68" s="95"/>
      <c r="D68" s="95"/>
      <c r="E68" s="95"/>
      <c r="F68" s="95"/>
      <c r="G68" s="95"/>
      <c r="H68" s="95"/>
      <c r="I68" s="95"/>
      <c r="J68" s="95"/>
      <c r="K68" s="95"/>
      <c r="L68" s="95"/>
      <c r="M68" s="116">
        <f t="shared" si="2"/>
        <v>0</v>
      </c>
    </row>
    <row r="69" spans="1:13" x14ac:dyDescent="0.25">
      <c r="A69" s="107"/>
      <c r="B69" s="119"/>
      <c r="C69" s="120"/>
      <c r="D69" s="120"/>
      <c r="E69" s="120"/>
      <c r="F69" s="120"/>
      <c r="G69" s="120"/>
      <c r="H69" s="120"/>
      <c r="I69" s="120"/>
      <c r="J69" s="120"/>
      <c r="K69" s="121"/>
      <c r="L69" s="185"/>
      <c r="M69" s="122"/>
    </row>
  </sheetData>
  <mergeCells count="2">
    <mergeCell ref="B1:M1"/>
    <mergeCell ref="B2:M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V118"/>
  <sheetViews>
    <sheetView zoomScale="87" zoomScaleNormal="60" zoomScalePageLayoutView="60" workbookViewId="0">
      <pane xSplit="2" ySplit="5" topLeftCell="C6" activePane="bottomRight" state="frozen"/>
      <selection pane="topRight" activeCell="C16" sqref="C16"/>
      <selection pane="bottomLeft" activeCell="C16" sqref="C16"/>
      <selection pane="bottomRight" activeCell="B12" sqref="B12"/>
    </sheetView>
  </sheetViews>
  <sheetFormatPr defaultColWidth="8.85546875" defaultRowHeight="15" x14ac:dyDescent="0.25"/>
  <cols>
    <col min="1" max="1" width="6.7109375" style="161" bestFit="1" customWidth="1"/>
    <col min="2" max="2" width="45.28515625" bestFit="1" customWidth="1"/>
    <col min="3" max="10" width="10" customWidth="1"/>
    <col min="11" max="11" width="10" style="11" customWidth="1"/>
    <col min="12" max="82" width="10" customWidth="1"/>
    <col min="83" max="83" width="11.140625" style="162" bestFit="1" customWidth="1"/>
    <col min="84" max="84" width="8.7109375" customWidth="1"/>
    <col min="85" max="85" width="7.28515625" style="160" bestFit="1" customWidth="1"/>
    <col min="86" max="86" width="14.7109375" style="126" bestFit="1" customWidth="1"/>
    <col min="87" max="87" width="11.85546875" customWidth="1"/>
    <col min="88" max="88" width="10.28515625" bestFit="1" customWidth="1"/>
    <col min="89" max="89" width="11" bestFit="1" customWidth="1"/>
    <col min="90" max="90" width="11" customWidth="1"/>
    <col min="91" max="91" width="11.42578125" bestFit="1" customWidth="1"/>
    <col min="92" max="92" width="12" customWidth="1"/>
    <col min="93" max="94" width="10.85546875" customWidth="1"/>
    <col min="95" max="95" width="10.42578125" customWidth="1"/>
    <col min="97" max="97" width="11.140625" bestFit="1" customWidth="1"/>
    <col min="98" max="98" width="11.28515625" bestFit="1" customWidth="1"/>
    <col min="99" max="99" width="11.140625" bestFit="1" customWidth="1"/>
    <col min="100" max="100" width="11.28515625" bestFit="1" customWidth="1"/>
  </cols>
  <sheetData>
    <row r="1" spans="1:100" s="104" customFormat="1" ht="18.75" x14ac:dyDescent="0.3">
      <c r="A1" s="123"/>
      <c r="B1" s="428" t="s">
        <v>267</v>
      </c>
      <c r="C1" s="428"/>
      <c r="D1" s="428"/>
      <c r="E1" s="428"/>
      <c r="F1" s="428"/>
      <c r="G1" s="428"/>
      <c r="H1" s="428"/>
      <c r="I1" s="428"/>
      <c r="J1" s="428"/>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4"/>
      <c r="AR1" s="124"/>
      <c r="AS1" s="124"/>
      <c r="AT1" s="124"/>
      <c r="AU1" s="124"/>
      <c r="AV1" s="124"/>
      <c r="AW1" s="124"/>
      <c r="AX1" s="124"/>
      <c r="AY1" s="124"/>
      <c r="AZ1" s="124"/>
      <c r="BA1" s="124"/>
      <c r="BB1" s="124"/>
      <c r="BC1" s="124"/>
      <c r="BD1" s="124"/>
      <c r="BE1" s="124"/>
      <c r="BF1" s="124"/>
      <c r="BG1" s="124"/>
      <c r="BH1" s="124"/>
      <c r="BI1" s="124"/>
      <c r="BJ1" s="124"/>
      <c r="BK1" s="124"/>
      <c r="BL1" s="124"/>
      <c r="BM1" s="124"/>
      <c r="BN1" s="124"/>
      <c r="BO1" s="124"/>
      <c r="BP1" s="124"/>
      <c r="BQ1" s="124"/>
      <c r="BR1" s="124"/>
      <c r="BS1" s="124"/>
      <c r="BT1" s="124"/>
      <c r="BU1" s="124"/>
      <c r="BV1" s="124"/>
      <c r="BW1" s="124"/>
      <c r="BX1" s="124"/>
      <c r="BY1" s="124"/>
      <c r="BZ1" s="124"/>
      <c r="CA1" s="124"/>
      <c r="CB1" s="124"/>
      <c r="CC1" s="124"/>
      <c r="CD1" s="124"/>
      <c r="CE1" s="124"/>
      <c r="CG1" s="125"/>
      <c r="CH1" s="126"/>
      <c r="CS1" s="224"/>
    </row>
    <row r="2" spans="1:100" s="104" customFormat="1" ht="15.75" thickBot="1" x14ac:dyDescent="0.3">
      <c r="A2" s="127"/>
      <c r="B2" s="124"/>
      <c r="C2" s="429" t="s">
        <v>115</v>
      </c>
      <c r="D2" s="429"/>
      <c r="E2" s="429"/>
      <c r="F2" s="429"/>
      <c r="G2" s="429"/>
      <c r="H2" s="429"/>
      <c r="I2" s="429"/>
      <c r="J2" s="429"/>
      <c r="K2" s="429" t="s">
        <v>115</v>
      </c>
      <c r="L2" s="429"/>
      <c r="M2" s="429"/>
      <c r="N2" s="429"/>
      <c r="O2" s="429"/>
      <c r="P2" s="429"/>
      <c r="Q2" s="429"/>
      <c r="R2" s="429"/>
      <c r="S2" s="429" t="s">
        <v>115</v>
      </c>
      <c r="T2" s="429"/>
      <c r="U2" s="429"/>
      <c r="V2" s="429"/>
      <c r="W2" s="429"/>
      <c r="X2" s="429"/>
      <c r="Y2" s="429"/>
      <c r="Z2" s="429"/>
      <c r="AA2" s="429" t="s">
        <v>115</v>
      </c>
      <c r="AB2" s="429"/>
      <c r="AC2" s="429"/>
      <c r="AD2" s="429"/>
      <c r="AE2" s="429"/>
      <c r="AF2" s="429"/>
      <c r="AG2" s="429"/>
      <c r="AH2" s="429"/>
      <c r="AI2" s="429" t="s">
        <v>115</v>
      </c>
      <c r="AJ2" s="429"/>
      <c r="AK2" s="429"/>
      <c r="AL2" s="429"/>
      <c r="AM2" s="429"/>
      <c r="AN2" s="429"/>
      <c r="AO2" s="429"/>
      <c r="AP2" s="429"/>
      <c r="AQ2" s="429" t="s">
        <v>115</v>
      </c>
      <c r="AR2" s="429"/>
      <c r="AS2" s="429"/>
      <c r="AT2" s="429"/>
      <c r="AU2" s="429"/>
      <c r="AV2" s="429"/>
      <c r="AW2" s="429"/>
      <c r="AX2" s="429"/>
      <c r="AY2" s="429" t="s">
        <v>115</v>
      </c>
      <c r="AZ2" s="429"/>
      <c r="BA2" s="429"/>
      <c r="BB2" s="429"/>
      <c r="BC2" s="429"/>
      <c r="BD2" s="429"/>
      <c r="BE2" s="429"/>
      <c r="BF2" s="429"/>
      <c r="BG2" s="429" t="s">
        <v>115</v>
      </c>
      <c r="BH2" s="429"/>
      <c r="BI2" s="429"/>
      <c r="BJ2" s="429"/>
      <c r="BK2" s="429"/>
      <c r="BL2" s="429"/>
      <c r="BM2" s="429"/>
      <c r="BN2" s="429"/>
      <c r="BO2" s="429" t="s">
        <v>115</v>
      </c>
      <c r="BP2" s="429"/>
      <c r="BQ2" s="429"/>
      <c r="BR2" s="429"/>
      <c r="BS2" s="429"/>
      <c r="BT2" s="429"/>
      <c r="BU2" s="429"/>
      <c r="BV2" s="429"/>
      <c r="BW2" s="429" t="s">
        <v>115</v>
      </c>
      <c r="BX2" s="429"/>
      <c r="BY2" s="429"/>
      <c r="BZ2" s="429"/>
      <c r="CA2" s="429"/>
      <c r="CB2" s="429"/>
      <c r="CC2" s="429"/>
      <c r="CD2" s="429"/>
      <c r="CE2" s="124"/>
      <c r="CG2" s="125"/>
      <c r="CH2" s="128"/>
      <c r="CI2" s="125"/>
      <c r="CJ2" s="125"/>
      <c r="CK2" s="125"/>
      <c r="CL2" s="125"/>
      <c r="CM2" s="125"/>
      <c r="CN2" s="125"/>
      <c r="CO2" s="125"/>
      <c r="CP2" s="125"/>
      <c r="CQ2" s="125"/>
      <c r="CS2" s="224"/>
    </row>
    <row r="3" spans="1:100" s="46" customFormat="1" ht="16.5" thickBot="1" x14ac:dyDescent="0.3">
      <c r="A3" s="127"/>
      <c r="B3" s="129" t="s">
        <v>66</v>
      </c>
      <c r="C3" s="130">
        <f>SUM(C6:C69)</f>
        <v>0</v>
      </c>
      <c r="D3" s="131">
        <f t="shared" ref="D3:BV3" si="0">SUM(D6:D69)</f>
        <v>0</v>
      </c>
      <c r="E3" s="131">
        <f t="shared" si="0"/>
        <v>0</v>
      </c>
      <c r="F3" s="131">
        <f t="shared" si="0"/>
        <v>0</v>
      </c>
      <c r="G3" s="131">
        <f t="shared" si="0"/>
        <v>0</v>
      </c>
      <c r="H3" s="131">
        <f t="shared" si="0"/>
        <v>0</v>
      </c>
      <c r="I3" s="131">
        <f t="shared" si="0"/>
        <v>0</v>
      </c>
      <c r="J3" s="132">
        <f t="shared" si="0"/>
        <v>0</v>
      </c>
      <c r="K3" s="130">
        <f>SUM(K6:K69)</f>
        <v>0</v>
      </c>
      <c r="L3" s="131">
        <f t="shared" si="0"/>
        <v>0</v>
      </c>
      <c r="M3" s="131">
        <f t="shared" si="0"/>
        <v>0</v>
      </c>
      <c r="N3" s="131">
        <f t="shared" si="0"/>
        <v>0</v>
      </c>
      <c r="O3" s="131">
        <f t="shared" si="0"/>
        <v>0</v>
      </c>
      <c r="P3" s="131">
        <f t="shared" si="0"/>
        <v>0</v>
      </c>
      <c r="Q3" s="131">
        <f t="shared" si="0"/>
        <v>0</v>
      </c>
      <c r="R3" s="132">
        <f t="shared" si="0"/>
        <v>0</v>
      </c>
      <c r="S3" s="130">
        <f>SUM(S6:S69)</f>
        <v>0</v>
      </c>
      <c r="T3" s="131">
        <f t="shared" si="0"/>
        <v>0</v>
      </c>
      <c r="U3" s="131">
        <f t="shared" si="0"/>
        <v>0</v>
      </c>
      <c r="V3" s="131">
        <f t="shared" si="0"/>
        <v>0</v>
      </c>
      <c r="W3" s="131">
        <f t="shared" si="0"/>
        <v>0</v>
      </c>
      <c r="X3" s="131">
        <f t="shared" si="0"/>
        <v>0</v>
      </c>
      <c r="Y3" s="131">
        <f t="shared" si="0"/>
        <v>0</v>
      </c>
      <c r="Z3" s="132">
        <f t="shared" si="0"/>
        <v>0</v>
      </c>
      <c r="AA3" s="130">
        <f>SUM(AA6:AA69)</f>
        <v>0</v>
      </c>
      <c r="AB3" s="131">
        <f t="shared" si="0"/>
        <v>0</v>
      </c>
      <c r="AC3" s="131">
        <f t="shared" si="0"/>
        <v>0</v>
      </c>
      <c r="AD3" s="131">
        <f t="shared" si="0"/>
        <v>0</v>
      </c>
      <c r="AE3" s="131">
        <f t="shared" si="0"/>
        <v>0</v>
      </c>
      <c r="AF3" s="131">
        <f t="shared" si="0"/>
        <v>0</v>
      </c>
      <c r="AG3" s="131">
        <f t="shared" si="0"/>
        <v>0</v>
      </c>
      <c r="AH3" s="132">
        <f t="shared" si="0"/>
        <v>0</v>
      </c>
      <c r="AI3" s="130">
        <f>SUM(AI6:AI69)</f>
        <v>0</v>
      </c>
      <c r="AJ3" s="131">
        <f t="shared" si="0"/>
        <v>0</v>
      </c>
      <c r="AK3" s="131">
        <f t="shared" si="0"/>
        <v>0</v>
      </c>
      <c r="AL3" s="131">
        <f t="shared" si="0"/>
        <v>0</v>
      </c>
      <c r="AM3" s="131">
        <f t="shared" si="0"/>
        <v>0</v>
      </c>
      <c r="AN3" s="131">
        <f t="shared" si="0"/>
        <v>0</v>
      </c>
      <c r="AO3" s="131">
        <f t="shared" si="0"/>
        <v>0</v>
      </c>
      <c r="AP3" s="132">
        <f t="shared" si="0"/>
        <v>0</v>
      </c>
      <c r="AQ3" s="130">
        <f>SUM(AQ6:AQ69)</f>
        <v>0</v>
      </c>
      <c r="AR3" s="131">
        <f t="shared" ref="AR3:BN3" si="1">SUM(AR6:AR69)</f>
        <v>0</v>
      </c>
      <c r="AS3" s="131">
        <f t="shared" si="1"/>
        <v>0</v>
      </c>
      <c r="AT3" s="131">
        <f t="shared" si="1"/>
        <v>0</v>
      </c>
      <c r="AU3" s="131">
        <f t="shared" si="1"/>
        <v>0</v>
      </c>
      <c r="AV3" s="131">
        <f t="shared" si="1"/>
        <v>0</v>
      </c>
      <c r="AW3" s="131">
        <f t="shared" si="1"/>
        <v>0</v>
      </c>
      <c r="AX3" s="132">
        <f t="shared" si="1"/>
        <v>0</v>
      </c>
      <c r="AY3" s="130">
        <f t="shared" si="1"/>
        <v>0</v>
      </c>
      <c r="AZ3" s="131">
        <f t="shared" si="1"/>
        <v>0</v>
      </c>
      <c r="BA3" s="131">
        <f t="shared" si="1"/>
        <v>0</v>
      </c>
      <c r="BB3" s="131">
        <f t="shared" si="1"/>
        <v>0</v>
      </c>
      <c r="BC3" s="131">
        <f t="shared" si="1"/>
        <v>0</v>
      </c>
      <c r="BD3" s="131">
        <f t="shared" si="1"/>
        <v>0</v>
      </c>
      <c r="BE3" s="131">
        <f t="shared" si="1"/>
        <v>0</v>
      </c>
      <c r="BF3" s="132">
        <f t="shared" si="1"/>
        <v>0</v>
      </c>
      <c r="BG3" s="130">
        <f>SUM(BG6:BG69)</f>
        <v>0</v>
      </c>
      <c r="BH3" s="131">
        <f t="shared" si="1"/>
        <v>0</v>
      </c>
      <c r="BI3" s="131">
        <f t="shared" si="1"/>
        <v>0</v>
      </c>
      <c r="BJ3" s="131">
        <f t="shared" si="1"/>
        <v>0</v>
      </c>
      <c r="BK3" s="131">
        <f t="shared" si="1"/>
        <v>0</v>
      </c>
      <c r="BL3" s="131">
        <f t="shared" si="1"/>
        <v>0</v>
      </c>
      <c r="BM3" s="131">
        <f t="shared" si="1"/>
        <v>0</v>
      </c>
      <c r="BN3" s="132">
        <f t="shared" si="1"/>
        <v>0</v>
      </c>
      <c r="BO3" s="130">
        <f>SUM(BO6:BO69)</f>
        <v>0</v>
      </c>
      <c r="BP3" s="131">
        <f t="shared" si="0"/>
        <v>0</v>
      </c>
      <c r="BQ3" s="131">
        <f t="shared" si="0"/>
        <v>0</v>
      </c>
      <c r="BR3" s="131">
        <f t="shared" si="0"/>
        <v>0</v>
      </c>
      <c r="BS3" s="131">
        <f t="shared" si="0"/>
        <v>0</v>
      </c>
      <c r="BT3" s="131">
        <f t="shared" si="0"/>
        <v>0</v>
      </c>
      <c r="BU3" s="131">
        <f t="shared" si="0"/>
        <v>0</v>
      </c>
      <c r="BV3" s="132">
        <f t="shared" si="0"/>
        <v>0</v>
      </c>
      <c r="BW3" s="130">
        <f>SUM(BW6:BW69)</f>
        <v>0</v>
      </c>
      <c r="BX3" s="131">
        <f t="shared" ref="BX3:CD3" si="2">SUM(BX6:BX69)</f>
        <v>0</v>
      </c>
      <c r="BY3" s="131">
        <f t="shared" si="2"/>
        <v>0</v>
      </c>
      <c r="BZ3" s="131">
        <f t="shared" si="2"/>
        <v>0</v>
      </c>
      <c r="CA3" s="131">
        <f t="shared" si="2"/>
        <v>0</v>
      </c>
      <c r="CB3" s="131">
        <f t="shared" si="2"/>
        <v>0</v>
      </c>
      <c r="CC3" s="131">
        <f t="shared" si="2"/>
        <v>0</v>
      </c>
      <c r="CD3" s="132">
        <f t="shared" si="2"/>
        <v>0</v>
      </c>
      <c r="CE3" s="133">
        <f>SUM(C3:CD3)</f>
        <v>0</v>
      </c>
      <c r="CG3" s="134"/>
      <c r="CH3" s="430" t="s">
        <v>268</v>
      </c>
      <c r="CI3" s="430"/>
      <c r="CJ3" s="430"/>
      <c r="CK3" s="430"/>
      <c r="CL3" s="430"/>
      <c r="CM3" s="430"/>
      <c r="CN3" s="430"/>
      <c r="CO3" s="430"/>
      <c r="CP3" s="430"/>
      <c r="CQ3" s="430"/>
      <c r="CS3" s="46" t="s">
        <v>269</v>
      </c>
      <c r="CT3" s="46" t="s">
        <v>270</v>
      </c>
      <c r="CU3" s="46" t="s">
        <v>271</v>
      </c>
      <c r="CV3" s="46" t="s">
        <v>272</v>
      </c>
    </row>
    <row r="4" spans="1:100" s="137" customFormat="1" ht="16.5" thickBot="1" x14ac:dyDescent="0.3">
      <c r="A4" s="135"/>
      <c r="B4" s="136"/>
      <c r="C4" s="423" t="s">
        <v>273</v>
      </c>
      <c r="D4" s="424"/>
      <c r="E4" s="424"/>
      <c r="F4" s="424"/>
      <c r="G4" s="424"/>
      <c r="H4" s="424"/>
      <c r="I4" s="424"/>
      <c r="J4" s="425"/>
      <c r="K4" s="423" t="s">
        <v>274</v>
      </c>
      <c r="L4" s="424"/>
      <c r="M4" s="424"/>
      <c r="N4" s="424"/>
      <c r="O4" s="424"/>
      <c r="P4" s="424"/>
      <c r="Q4" s="424"/>
      <c r="R4" s="425"/>
      <c r="S4" s="423" t="s">
        <v>135</v>
      </c>
      <c r="T4" s="424"/>
      <c r="U4" s="424"/>
      <c r="V4" s="424"/>
      <c r="W4" s="424"/>
      <c r="X4" s="424"/>
      <c r="Y4" s="424"/>
      <c r="Z4" s="425"/>
      <c r="AA4" s="423" t="s">
        <v>136</v>
      </c>
      <c r="AB4" s="424"/>
      <c r="AC4" s="424"/>
      <c r="AD4" s="424"/>
      <c r="AE4" s="424"/>
      <c r="AF4" s="424"/>
      <c r="AG4" s="424"/>
      <c r="AH4" s="425"/>
      <c r="AI4" s="423" t="s">
        <v>137</v>
      </c>
      <c r="AJ4" s="424"/>
      <c r="AK4" s="424"/>
      <c r="AL4" s="424"/>
      <c r="AM4" s="424"/>
      <c r="AN4" s="424"/>
      <c r="AO4" s="424"/>
      <c r="AP4" s="425"/>
      <c r="AQ4" s="423" t="s">
        <v>138</v>
      </c>
      <c r="AR4" s="424"/>
      <c r="AS4" s="424"/>
      <c r="AT4" s="424"/>
      <c r="AU4" s="424"/>
      <c r="AV4" s="424"/>
      <c r="AW4" s="424"/>
      <c r="AX4" s="425"/>
      <c r="AY4" s="423" t="s">
        <v>257</v>
      </c>
      <c r="AZ4" s="424"/>
      <c r="BA4" s="424"/>
      <c r="BB4" s="424"/>
      <c r="BC4" s="424"/>
      <c r="BD4" s="424"/>
      <c r="BE4" s="424"/>
      <c r="BF4" s="425"/>
      <c r="BG4" s="423" t="s">
        <v>258</v>
      </c>
      <c r="BH4" s="424"/>
      <c r="BI4" s="424"/>
      <c r="BJ4" s="424"/>
      <c r="BK4" s="424"/>
      <c r="BL4" s="424"/>
      <c r="BM4" s="424"/>
      <c r="BN4" s="425"/>
      <c r="BO4" s="423" t="s">
        <v>266</v>
      </c>
      <c r="BP4" s="424"/>
      <c r="BQ4" s="424"/>
      <c r="BR4" s="424"/>
      <c r="BS4" s="424"/>
      <c r="BT4" s="424"/>
      <c r="BU4" s="424"/>
      <c r="BV4" s="425"/>
      <c r="BW4" s="423" t="s">
        <v>142</v>
      </c>
      <c r="BX4" s="424"/>
      <c r="BY4" s="424"/>
      <c r="BZ4" s="424"/>
      <c r="CA4" s="424"/>
      <c r="CB4" s="424"/>
      <c r="CC4" s="424"/>
      <c r="CD4" s="425"/>
      <c r="CE4" s="426" t="s">
        <v>275</v>
      </c>
      <c r="CG4" s="138"/>
      <c r="CH4" s="421" t="s">
        <v>133</v>
      </c>
      <c r="CI4" s="421" t="s">
        <v>276</v>
      </c>
      <c r="CJ4" s="422" t="s">
        <v>135</v>
      </c>
      <c r="CK4" s="422" t="s">
        <v>136</v>
      </c>
      <c r="CL4" s="422" t="s">
        <v>137</v>
      </c>
      <c r="CM4" s="421" t="s">
        <v>277</v>
      </c>
      <c r="CN4" s="421" t="s">
        <v>139</v>
      </c>
      <c r="CO4" s="421" t="s">
        <v>278</v>
      </c>
      <c r="CP4" s="422" t="s">
        <v>141</v>
      </c>
      <c r="CQ4" s="422" t="s">
        <v>142</v>
      </c>
    </row>
    <row r="5" spans="1:100" s="147" customFormat="1" ht="13.5" customHeight="1" thickBot="1" x14ac:dyDescent="0.3">
      <c r="A5" s="139" t="s">
        <v>249</v>
      </c>
      <c r="B5" s="140" t="s">
        <v>265</v>
      </c>
      <c r="C5" s="141" t="s">
        <v>205</v>
      </c>
      <c r="D5" s="142" t="s">
        <v>206</v>
      </c>
      <c r="E5" s="142" t="s">
        <v>207</v>
      </c>
      <c r="F5" s="142" t="s">
        <v>208</v>
      </c>
      <c r="G5" s="142" t="s">
        <v>209</v>
      </c>
      <c r="H5" s="142" t="s">
        <v>210</v>
      </c>
      <c r="I5" s="142" t="s">
        <v>211</v>
      </c>
      <c r="J5" s="143" t="s">
        <v>279</v>
      </c>
      <c r="K5" s="141" t="s">
        <v>205</v>
      </c>
      <c r="L5" s="142" t="s">
        <v>206</v>
      </c>
      <c r="M5" s="142" t="s">
        <v>207</v>
      </c>
      <c r="N5" s="142" t="s">
        <v>208</v>
      </c>
      <c r="O5" s="142" t="s">
        <v>209</v>
      </c>
      <c r="P5" s="142" t="s">
        <v>210</v>
      </c>
      <c r="Q5" s="142" t="s">
        <v>211</v>
      </c>
      <c r="R5" s="143" t="s">
        <v>279</v>
      </c>
      <c r="S5" s="144" t="s">
        <v>205</v>
      </c>
      <c r="T5" s="145" t="s">
        <v>206</v>
      </c>
      <c r="U5" s="145" t="s">
        <v>207</v>
      </c>
      <c r="V5" s="145" t="s">
        <v>208</v>
      </c>
      <c r="W5" s="145" t="s">
        <v>209</v>
      </c>
      <c r="X5" s="145" t="s">
        <v>210</v>
      </c>
      <c r="Y5" s="145" t="s">
        <v>211</v>
      </c>
      <c r="Z5" s="146" t="s">
        <v>279</v>
      </c>
      <c r="AA5" s="144" t="s">
        <v>205</v>
      </c>
      <c r="AB5" s="145" t="s">
        <v>206</v>
      </c>
      <c r="AC5" s="145" t="s">
        <v>207</v>
      </c>
      <c r="AD5" s="145" t="s">
        <v>208</v>
      </c>
      <c r="AE5" s="145" t="s">
        <v>209</v>
      </c>
      <c r="AF5" s="145" t="s">
        <v>210</v>
      </c>
      <c r="AG5" s="145" t="s">
        <v>211</v>
      </c>
      <c r="AH5" s="146" t="s">
        <v>279</v>
      </c>
      <c r="AI5" s="144" t="s">
        <v>205</v>
      </c>
      <c r="AJ5" s="145" t="s">
        <v>206</v>
      </c>
      <c r="AK5" s="145" t="s">
        <v>207</v>
      </c>
      <c r="AL5" s="145" t="s">
        <v>208</v>
      </c>
      <c r="AM5" s="145" t="s">
        <v>209</v>
      </c>
      <c r="AN5" s="145" t="s">
        <v>210</v>
      </c>
      <c r="AO5" s="145" t="s">
        <v>211</v>
      </c>
      <c r="AP5" s="146" t="s">
        <v>279</v>
      </c>
      <c r="AQ5" s="144" t="s">
        <v>205</v>
      </c>
      <c r="AR5" s="145" t="s">
        <v>206</v>
      </c>
      <c r="AS5" s="145" t="s">
        <v>207</v>
      </c>
      <c r="AT5" s="145" t="s">
        <v>208</v>
      </c>
      <c r="AU5" s="145" t="s">
        <v>209</v>
      </c>
      <c r="AV5" s="145" t="s">
        <v>210</v>
      </c>
      <c r="AW5" s="145" t="s">
        <v>211</v>
      </c>
      <c r="AX5" s="146" t="s">
        <v>279</v>
      </c>
      <c r="AY5" s="144" t="s">
        <v>205</v>
      </c>
      <c r="AZ5" s="145" t="s">
        <v>206</v>
      </c>
      <c r="BA5" s="145" t="s">
        <v>207</v>
      </c>
      <c r="BB5" s="145" t="s">
        <v>208</v>
      </c>
      <c r="BC5" s="145" t="s">
        <v>209</v>
      </c>
      <c r="BD5" s="145" t="s">
        <v>210</v>
      </c>
      <c r="BE5" s="145" t="s">
        <v>211</v>
      </c>
      <c r="BF5" s="146" t="s">
        <v>279</v>
      </c>
      <c r="BG5" s="144" t="s">
        <v>205</v>
      </c>
      <c r="BH5" s="145" t="s">
        <v>206</v>
      </c>
      <c r="BI5" s="145" t="s">
        <v>207</v>
      </c>
      <c r="BJ5" s="145" t="s">
        <v>208</v>
      </c>
      <c r="BK5" s="145" t="s">
        <v>209</v>
      </c>
      <c r="BL5" s="145" t="s">
        <v>210</v>
      </c>
      <c r="BM5" s="145" t="s">
        <v>211</v>
      </c>
      <c r="BN5" s="146" t="s">
        <v>279</v>
      </c>
      <c r="BO5" s="144" t="s">
        <v>205</v>
      </c>
      <c r="BP5" s="145" t="s">
        <v>206</v>
      </c>
      <c r="BQ5" s="145" t="s">
        <v>207</v>
      </c>
      <c r="BR5" s="145" t="s">
        <v>208</v>
      </c>
      <c r="BS5" s="145" t="s">
        <v>209</v>
      </c>
      <c r="BT5" s="145" t="s">
        <v>210</v>
      </c>
      <c r="BU5" s="145" t="s">
        <v>211</v>
      </c>
      <c r="BV5" s="146" t="s">
        <v>279</v>
      </c>
      <c r="BW5" s="144" t="s">
        <v>205</v>
      </c>
      <c r="BX5" s="145" t="s">
        <v>206</v>
      </c>
      <c r="BY5" s="145" t="s">
        <v>207</v>
      </c>
      <c r="BZ5" s="145" t="s">
        <v>208</v>
      </c>
      <c r="CA5" s="145" t="s">
        <v>209</v>
      </c>
      <c r="CB5" s="145" t="s">
        <v>210</v>
      </c>
      <c r="CC5" s="145" t="s">
        <v>211</v>
      </c>
      <c r="CD5" s="146" t="s">
        <v>279</v>
      </c>
      <c r="CE5" s="427"/>
      <c r="CF5" s="147" t="s">
        <v>280</v>
      </c>
      <c r="CG5" s="148"/>
      <c r="CH5" s="421"/>
      <c r="CI5" s="421"/>
      <c r="CJ5" s="422"/>
      <c r="CK5" s="422"/>
      <c r="CL5" s="422"/>
      <c r="CM5" s="421"/>
      <c r="CN5" s="421"/>
      <c r="CO5" s="421"/>
      <c r="CP5" s="422"/>
      <c r="CQ5" s="422"/>
      <c r="CS5" s="224"/>
    </row>
    <row r="6" spans="1:100" s="126" customFormat="1" ht="15.75" thickBot="1" x14ac:dyDescent="0.3">
      <c r="A6" s="149">
        <v>1</v>
      </c>
      <c r="B6" s="101"/>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348"/>
      <c r="AH6" s="152"/>
      <c r="AI6" s="152"/>
      <c r="AJ6" s="152"/>
      <c r="AK6" s="152"/>
      <c r="AL6" s="152"/>
      <c r="AM6" s="152"/>
      <c r="AN6" s="152"/>
      <c r="AO6" s="152"/>
      <c r="AP6" s="152"/>
      <c r="AQ6" s="152"/>
      <c r="AR6" s="152"/>
      <c r="AS6" s="152"/>
      <c r="AT6" s="348"/>
      <c r="AU6" s="348"/>
      <c r="AV6" s="348"/>
      <c r="AW6" s="348"/>
      <c r="AX6" s="152"/>
      <c r="AY6" s="152"/>
      <c r="AZ6" s="152"/>
      <c r="BA6" s="152"/>
      <c r="BB6" s="152"/>
      <c r="BC6" s="152"/>
      <c r="BD6" s="152"/>
      <c r="BE6" s="152"/>
      <c r="BF6" s="152"/>
      <c r="BG6" s="348"/>
      <c r="BH6" s="152"/>
      <c r="BI6" s="348"/>
      <c r="BJ6" s="152"/>
      <c r="BK6" s="152"/>
      <c r="BL6" s="152"/>
      <c r="BM6" s="152"/>
      <c r="BN6" s="348"/>
      <c r="BO6" s="152"/>
      <c r="BP6" s="152"/>
      <c r="BQ6" s="152"/>
      <c r="BR6" s="152"/>
      <c r="BS6" s="152"/>
      <c r="BT6" s="152"/>
      <c r="BU6" s="152"/>
      <c r="BV6" s="348"/>
      <c r="BW6" s="152"/>
      <c r="BX6" s="152"/>
      <c r="BY6" s="152"/>
      <c r="BZ6" s="152"/>
      <c r="CA6" s="152"/>
      <c r="CB6" s="152"/>
      <c r="CC6" s="152"/>
      <c r="CD6" s="152"/>
      <c r="CE6" s="150">
        <f>SUM(C6:CD6)</f>
        <v>0</v>
      </c>
      <c r="CF6" s="126" t="e">
        <f>CE6/Landcover!M5</f>
        <v>#DIV/0!</v>
      </c>
      <c r="CG6" s="125">
        <v>1</v>
      </c>
      <c r="CH6" s="13">
        <f>IF(SUM(C6:J6)=0,0,SUMPRODUCT(C6:I6,TheModel!$G$28:$M$28)/SUM(C6:I6))</f>
        <v>0</v>
      </c>
      <c r="CI6" s="13">
        <f>IF(SUM(K6:R6)=0,0,TheModel!$G$29)</f>
        <v>0</v>
      </c>
      <c r="CJ6" s="13">
        <f>IF(SUM(S6:Z6)=0,0,SUMPRODUCT(S6:Y6,TheModel!$G$30:$M$30)/SUM(S6:Y6))</f>
        <v>0</v>
      </c>
      <c r="CK6" s="151">
        <f>IF(SUM(AA6:AH6)=0,0,TheModel!$G$31)</f>
        <v>0</v>
      </c>
      <c r="CL6" s="151">
        <f>IF(SUM(AI6:AP6)=0,0,TheModel!$G$32)</f>
        <v>0</v>
      </c>
      <c r="CM6" s="13">
        <f>IF(SUM(AQ6:AX6)=0,0,SUMPRODUCT(AQ6:AW6,TheModel!$G$33:$M$33)/SUM(AQ6:AW6))</f>
        <v>0</v>
      </c>
      <c r="CN6" s="13">
        <f>IF(SUM(AY6:BF6)=0,0,SUMPRODUCT(AY6:BE6,TheModel!$G$34:$M$34)/SUM(AY6:BE6))</f>
        <v>0</v>
      </c>
      <c r="CO6" s="151">
        <f>IF(SUM(BG6:BN6)=0,0,TheModel!$J$35)</f>
        <v>0</v>
      </c>
      <c r="CP6" s="151">
        <f>IF(SUM(BO6:BV6)=0,0,TheModel!$J$36)</f>
        <v>0</v>
      </c>
      <c r="CQ6" s="151">
        <f>IF(SUM(BW6:CC6)=0,0,SUMPRODUCT(BW6:CC6,TheModel!$G$37:$M$37)/SUM(BW6:CC6))</f>
        <v>0</v>
      </c>
      <c r="CS6" s="225" t="e">
        <f t="array" ref="CS6">SUM(C6:I6*CN_PER)/SUM(C6:I6)</f>
        <v>#DIV/0!</v>
      </c>
      <c r="CT6" s="126" t="e">
        <f t="array" ref="CT6">SUM(AY6:BE6*CN_PER)/SUM(AY6:BE6)</f>
        <v>#DIV/0!</v>
      </c>
      <c r="CU6" s="225" t="e">
        <f t="array" ref="CU6">SUM(S6:Y6*CN_TCP)/SUM(S6:Y6)</f>
        <v>#DIV/0!</v>
      </c>
      <c r="CV6" s="126" t="e">
        <f t="array" ref="CV6">SUM(S6:Y6*CN_FOS)/SUM(S6:Y6)</f>
        <v>#DIV/0!</v>
      </c>
    </row>
    <row r="7" spans="1:100" s="126" customFormat="1" ht="15.75" thickBot="1" x14ac:dyDescent="0.3">
      <c r="A7" s="149">
        <v>2</v>
      </c>
      <c r="B7" s="101"/>
      <c r="C7" s="152"/>
      <c r="D7" s="152"/>
      <c r="E7" s="152"/>
      <c r="F7" s="152"/>
      <c r="G7" s="152"/>
      <c r="H7" s="152"/>
      <c r="I7" s="152"/>
      <c r="J7" s="152"/>
      <c r="K7" s="152"/>
      <c r="L7" s="152"/>
      <c r="M7" s="152"/>
      <c r="N7" s="152"/>
      <c r="O7" s="152"/>
      <c r="P7" s="152"/>
      <c r="Q7" s="152"/>
      <c r="R7" s="152"/>
      <c r="S7" s="152"/>
      <c r="T7" s="152"/>
      <c r="U7" s="152"/>
      <c r="V7" s="152"/>
      <c r="W7" s="152"/>
      <c r="X7" s="152"/>
      <c r="Y7" s="152"/>
      <c r="Z7" s="152"/>
      <c r="AA7" s="152"/>
      <c r="AB7" s="152"/>
      <c r="AC7" s="152"/>
      <c r="AD7" s="152"/>
      <c r="AE7" s="152"/>
      <c r="AF7" s="152"/>
      <c r="AG7" s="152"/>
      <c r="AH7" s="152"/>
      <c r="AI7" s="152"/>
      <c r="AJ7" s="152"/>
      <c r="AK7" s="152"/>
      <c r="AL7" s="152"/>
      <c r="AM7" s="152"/>
      <c r="AN7" s="152"/>
      <c r="AO7" s="152"/>
      <c r="AP7" s="152"/>
      <c r="AQ7" s="152"/>
      <c r="AR7" s="152"/>
      <c r="AS7" s="152"/>
      <c r="AT7" s="152"/>
      <c r="AU7" s="152"/>
      <c r="AV7" s="152"/>
      <c r="AW7" s="152"/>
      <c r="AX7" s="152"/>
      <c r="AY7" s="152"/>
      <c r="AZ7" s="152"/>
      <c r="BA7" s="152"/>
      <c r="BB7" s="152"/>
      <c r="BC7" s="152"/>
      <c r="BD7" s="152"/>
      <c r="BE7" s="152"/>
      <c r="BF7" s="152"/>
      <c r="BG7" s="152"/>
      <c r="BH7" s="152"/>
      <c r="BI7" s="152"/>
      <c r="BJ7" s="152"/>
      <c r="BK7" s="152"/>
      <c r="BL7" s="152"/>
      <c r="BM7" s="152"/>
      <c r="BN7" s="152"/>
      <c r="BO7" s="152"/>
      <c r="BP7" s="152"/>
      <c r="BQ7" s="152"/>
      <c r="BR7" s="152"/>
      <c r="BS7" s="152"/>
      <c r="BT7" s="152"/>
      <c r="BU7" s="152"/>
      <c r="BV7" s="152"/>
      <c r="BW7" s="152"/>
      <c r="BX7" s="152"/>
      <c r="BY7" s="152"/>
      <c r="BZ7" s="152"/>
      <c r="CA7" s="152"/>
      <c r="CB7" s="152"/>
      <c r="CC7" s="152"/>
      <c r="CD7" s="152"/>
      <c r="CE7" s="150">
        <f t="shared" ref="CE7:CE69" si="3">SUM(C7:CD7)</f>
        <v>0</v>
      </c>
      <c r="CF7" s="126" t="e">
        <f>CE7/Landcover!M6</f>
        <v>#DIV/0!</v>
      </c>
      <c r="CG7" s="125">
        <v>2</v>
      </c>
      <c r="CH7" s="13">
        <f>IF(SUM(C7:J7)=0,0,SUMPRODUCT(C7:I7,TheModel!$G$28:$M$28)/SUM(C7:I7))</f>
        <v>0</v>
      </c>
      <c r="CI7" s="13">
        <f>IF(SUM(K7:R7)=0,0,TheModel!$G$29)</f>
        <v>0</v>
      </c>
      <c r="CJ7" s="13">
        <f>IF(SUM(S7:Z7)=0,0,SUMPRODUCT(S7:Y7,TheModel!$G$30:$M$30)/SUM(S7:Y7))</f>
        <v>0</v>
      </c>
      <c r="CK7" s="151">
        <f>IF(SUM(AA7:AH7)=0,0,TheModel!$G$31)</f>
        <v>0</v>
      </c>
      <c r="CL7" s="151">
        <f>IF(SUM(AI7:AP7)=0,0,TheModel!$G$32)</f>
        <v>0</v>
      </c>
      <c r="CM7" s="13">
        <f>IF(SUM(AQ7:AX7)=0,0,SUMPRODUCT(AQ7:AW7,TheModel!$G$33:$M$33)/SUM(AQ7:AW7))</f>
        <v>0</v>
      </c>
      <c r="CN7" s="13">
        <f>IF(SUM(AY7:BF7)=0,0,SUMPRODUCT(AY7:BE7,TheModel!$G$34:$M$34)/SUM(AY7:BE7))</f>
        <v>0</v>
      </c>
      <c r="CO7" s="151">
        <f>IF(SUM(BG7:BN7)=0,0,TheModel!$J$35)</f>
        <v>0</v>
      </c>
      <c r="CP7" s="151">
        <f>IF(SUM(BO7:BV7)=0,0,TheModel!$J$36)</f>
        <v>0</v>
      </c>
      <c r="CQ7" s="151">
        <f>IF(SUM(BW7:CC7)=0,0,SUMPRODUCT(BW7:CC7,TheModel!$G$37:$M$37)/SUM(BW7:CC7))</f>
        <v>0</v>
      </c>
      <c r="CS7" s="225" t="e">
        <f t="array" ref="CS7">SUM(C7:I7*CN_PER)/SUM(C7:I7)</f>
        <v>#DIV/0!</v>
      </c>
      <c r="CT7" s="126" t="e">
        <f t="array" ref="CT7">SUM(AY7:BE7*CN_PER)/SUM(AY7:BE7)</f>
        <v>#DIV/0!</v>
      </c>
      <c r="CU7" s="225" t="e">
        <f t="array" ref="CU7">SUM(S7:Y7*CN_TCP)/SUM(S7:Y7)</f>
        <v>#DIV/0!</v>
      </c>
      <c r="CV7" s="126" t="e">
        <f t="array" ref="CV7">SUM(S7:Y7*CN_FOS)/SUM(S7:Y7)</f>
        <v>#DIV/0!</v>
      </c>
    </row>
    <row r="8" spans="1:100" s="126" customFormat="1" ht="15.75" thickBot="1" x14ac:dyDescent="0.3">
      <c r="A8" s="149">
        <v>3</v>
      </c>
      <c r="B8" s="101"/>
      <c r="C8" s="152"/>
      <c r="D8" s="152"/>
      <c r="E8" s="152"/>
      <c r="F8" s="152"/>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348"/>
      <c r="AW8" s="152"/>
      <c r="AX8" s="152"/>
      <c r="AY8" s="152"/>
      <c r="AZ8" s="152"/>
      <c r="BA8" s="152"/>
      <c r="BB8" s="152"/>
      <c r="BC8" s="152"/>
      <c r="BD8" s="152"/>
      <c r="BE8" s="152"/>
      <c r="BF8" s="152"/>
      <c r="BG8" s="348"/>
      <c r="BH8" s="152"/>
      <c r="BI8" s="152"/>
      <c r="BJ8" s="152"/>
      <c r="BK8" s="152"/>
      <c r="BL8" s="348"/>
      <c r="BM8" s="152"/>
      <c r="BN8" s="152"/>
      <c r="BO8" s="348"/>
      <c r="BP8" s="152"/>
      <c r="BQ8" s="152"/>
      <c r="BR8" s="152"/>
      <c r="BS8" s="152"/>
      <c r="BT8" s="152"/>
      <c r="BU8" s="152"/>
      <c r="BV8" s="152"/>
      <c r="BW8" s="152"/>
      <c r="BX8" s="152"/>
      <c r="BY8" s="152"/>
      <c r="BZ8" s="152"/>
      <c r="CA8" s="152"/>
      <c r="CB8" s="152"/>
      <c r="CC8" s="152"/>
      <c r="CD8" s="152"/>
      <c r="CE8" s="150">
        <f t="shared" si="3"/>
        <v>0</v>
      </c>
      <c r="CF8" s="126" t="e">
        <f>CE8/Landcover!M7</f>
        <v>#DIV/0!</v>
      </c>
      <c r="CG8" s="125">
        <v>3</v>
      </c>
      <c r="CH8" s="13">
        <f>IF(SUM(C8:J8)=0,0,SUMPRODUCT(C8:I8,TheModel!$G$28:$M$28)/SUM(C8:I8))</f>
        <v>0</v>
      </c>
      <c r="CI8" s="13">
        <f>IF(SUM(K8:R8)=0,0,TheModel!$G$29)</f>
        <v>0</v>
      </c>
      <c r="CJ8" s="13">
        <f>IF(SUM(S8:Z8)=0,0,SUMPRODUCT(S8:Y8,TheModel!$G$30:$M$30)/SUM(S8:Y8))</f>
        <v>0</v>
      </c>
      <c r="CK8" s="151">
        <f>IF(SUM(AA8:AH8)=0,0,TheModel!$G$31)</f>
        <v>0</v>
      </c>
      <c r="CL8" s="151">
        <f>IF(SUM(AI8:AP8)=0,0,TheModel!$G$32)</f>
        <v>0</v>
      </c>
      <c r="CM8" s="13">
        <f>IF(SUM(AQ8:AX8)=0,0,SUMPRODUCT(AQ8:AW8,TheModel!$G$33:$M$33)/SUM(AQ8:AW8))</f>
        <v>0</v>
      </c>
      <c r="CN8" s="13">
        <f>IF(SUM(AY8:BF8)=0,0,SUMPRODUCT(AY8:BE8,TheModel!$G$34:$M$34)/SUM(AY8:BE8))</f>
        <v>0</v>
      </c>
      <c r="CO8" s="151">
        <f>IF(SUM(BG8:BN8)=0,0,TheModel!$J$35)</f>
        <v>0</v>
      </c>
      <c r="CP8" s="151">
        <f>IF(SUM(BO8:BV8)=0,0,TheModel!$J$36)</f>
        <v>0</v>
      </c>
      <c r="CQ8" s="151">
        <f>IF(SUM(BW8:CC8)=0,0,SUMPRODUCT(BW8:CC8,TheModel!$G$37:$M$37)/SUM(BW8:CC8))</f>
        <v>0</v>
      </c>
      <c r="CS8" s="225" t="e">
        <f t="array" ref="CS8">SUM(C8:I8*CN_PER)/SUM(C8:I8)</f>
        <v>#DIV/0!</v>
      </c>
      <c r="CT8" s="126" t="e">
        <f t="array" ref="CT8">SUM(AY8:BE8*CN_PER)/SUM(AY8:BE8)</f>
        <v>#DIV/0!</v>
      </c>
      <c r="CU8" s="225" t="e">
        <f t="array" ref="CU8">SUM(S8:Y8*CN_TCP)/SUM(S8:Y8)</f>
        <v>#DIV/0!</v>
      </c>
      <c r="CV8" s="126" t="e">
        <f t="array" ref="CV8">SUM(S8:Y8*CN_FOS)/SUM(S8:Y8)</f>
        <v>#DIV/0!</v>
      </c>
    </row>
    <row r="9" spans="1:100" s="126" customFormat="1" ht="15.75" thickBot="1" x14ac:dyDescent="0.3">
      <c r="A9" s="149">
        <v>4</v>
      </c>
      <c r="B9" s="101"/>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152"/>
      <c r="BJ9" s="152"/>
      <c r="BK9" s="152"/>
      <c r="BL9" s="152"/>
      <c r="BM9" s="152"/>
      <c r="BN9" s="152"/>
      <c r="BO9" s="152"/>
      <c r="BP9" s="152"/>
      <c r="BQ9" s="152"/>
      <c r="BR9" s="152"/>
      <c r="BS9" s="152"/>
      <c r="BT9" s="152"/>
      <c r="BU9" s="152"/>
      <c r="BV9" s="152"/>
      <c r="BW9" s="152"/>
      <c r="BX9" s="152"/>
      <c r="BY9" s="152"/>
      <c r="BZ9" s="152"/>
      <c r="CA9" s="152"/>
      <c r="CB9" s="152"/>
      <c r="CC9" s="152"/>
      <c r="CD9" s="152"/>
      <c r="CE9" s="150">
        <f t="shared" si="3"/>
        <v>0</v>
      </c>
      <c r="CF9" s="126" t="e">
        <f>CE9/Landcover!M8</f>
        <v>#DIV/0!</v>
      </c>
      <c r="CG9" s="125">
        <v>4</v>
      </c>
      <c r="CH9" s="13">
        <f>IF(SUM(C9:J9)=0,0,SUMPRODUCT(C9:I9,TheModel!$G$28:$M$28)/SUM(C9:I9))</f>
        <v>0</v>
      </c>
      <c r="CI9" s="13">
        <f>IF(SUM(K9:R9)=0,0,TheModel!$G$29)</f>
        <v>0</v>
      </c>
      <c r="CJ9" s="13">
        <f>IF(SUM(S9:Z9)=0,0,SUMPRODUCT(S9:Y9,TheModel!$G$30:$M$30)/SUM(S9:Y9))</f>
        <v>0</v>
      </c>
      <c r="CK9" s="151">
        <f>IF(SUM(AA9:AH9)=0,0,TheModel!$G$31)</f>
        <v>0</v>
      </c>
      <c r="CL9" s="151">
        <f>IF(SUM(AI9:AP9)=0,0,TheModel!$G$32)</f>
        <v>0</v>
      </c>
      <c r="CM9" s="13">
        <f>IF(SUM(AQ9:AX9)=0,0,SUMPRODUCT(AQ9:AW9,TheModel!$G$33:$M$33)/SUM(AQ9:AW9))</f>
        <v>0</v>
      </c>
      <c r="CN9" s="13">
        <f>IF(SUM(AY9:BF9)=0,0,SUMPRODUCT(AY9:BE9,TheModel!$G$34:$M$34)/SUM(AY9:BE9))</f>
        <v>0</v>
      </c>
      <c r="CO9" s="151">
        <f>IF(SUM(BG9:BN9)=0,0,TheModel!$J$35)</f>
        <v>0</v>
      </c>
      <c r="CP9" s="151">
        <f>IF(SUM(BO9:BV9)=0,0,TheModel!$J$36)</f>
        <v>0</v>
      </c>
      <c r="CQ9" s="151">
        <f>IF(SUM(BW9:CC9)=0,0,SUMPRODUCT(BW9:CC9,TheModel!$G$37:$M$37)/SUM(BW9:CC9))</f>
        <v>0</v>
      </c>
      <c r="CS9" s="225" t="e">
        <f t="array" ref="CS9">SUM(C9:I9*CN_PER)/SUM(C9:I9)</f>
        <v>#DIV/0!</v>
      </c>
      <c r="CT9" s="126" t="e">
        <f t="array" ref="CT9">SUM(AY9:BE9*CN_PER)/SUM(AY9:BE9)</f>
        <v>#DIV/0!</v>
      </c>
      <c r="CU9" s="225" t="e">
        <f t="array" ref="CU9">SUM(S9:Y9*CN_TCP)/SUM(S9:Y9)</f>
        <v>#DIV/0!</v>
      </c>
      <c r="CV9" s="126" t="e">
        <f t="array" ref="CV9">SUM(S9:Y9*CN_FOS)/SUM(S9:Y9)</f>
        <v>#DIV/0!</v>
      </c>
    </row>
    <row r="10" spans="1:100" s="126" customFormat="1" ht="15.75" thickBot="1" x14ac:dyDescent="0.3">
      <c r="A10" s="149">
        <v>5</v>
      </c>
      <c r="B10" s="319"/>
      <c r="C10" s="152"/>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2"/>
      <c r="AO10" s="152"/>
      <c r="AP10" s="152"/>
      <c r="AQ10" s="152"/>
      <c r="AR10" s="152"/>
      <c r="AS10" s="152"/>
      <c r="AT10" s="152"/>
      <c r="AU10" s="152"/>
      <c r="AV10" s="152"/>
      <c r="AW10" s="152"/>
      <c r="AX10" s="152"/>
      <c r="AY10" s="152"/>
      <c r="AZ10" s="152"/>
      <c r="BA10" s="152"/>
      <c r="BB10" s="152"/>
      <c r="BC10" s="152"/>
      <c r="BD10" s="152"/>
      <c r="BE10" s="152"/>
      <c r="BF10" s="152"/>
      <c r="BG10" s="152"/>
      <c r="BH10" s="152"/>
      <c r="BI10" s="152"/>
      <c r="BJ10" s="152"/>
      <c r="BK10" s="152"/>
      <c r="BL10" s="152"/>
      <c r="BM10" s="152"/>
      <c r="BN10" s="152"/>
      <c r="BO10" s="152"/>
      <c r="BP10" s="152"/>
      <c r="BQ10" s="152"/>
      <c r="BR10" s="152"/>
      <c r="BS10" s="152"/>
      <c r="BT10" s="152"/>
      <c r="BU10" s="152"/>
      <c r="BV10" s="152"/>
      <c r="BW10" s="152"/>
      <c r="BX10" s="152"/>
      <c r="BY10" s="152"/>
      <c r="BZ10" s="152"/>
      <c r="CA10" s="152"/>
      <c r="CB10" s="152"/>
      <c r="CC10" s="152"/>
      <c r="CD10" s="152"/>
      <c r="CE10" s="150">
        <f t="shared" si="3"/>
        <v>0</v>
      </c>
      <c r="CF10" s="126" t="e">
        <f>CE10/Landcover!M9</f>
        <v>#DIV/0!</v>
      </c>
      <c r="CG10" s="125">
        <v>5</v>
      </c>
      <c r="CH10" s="13">
        <f>IF(SUM(C10:J10)=0,0,SUMPRODUCT(C10:I10,TheModel!$G$28:$M$28)/SUM(C10:I10))</f>
        <v>0</v>
      </c>
      <c r="CI10" s="13">
        <f>IF(SUM(K10:R10)=0,0,TheModel!$G$29)</f>
        <v>0</v>
      </c>
      <c r="CJ10" s="13">
        <f>IF(SUM(S10:Z10)=0,0,SUMPRODUCT(S10:Y10,TheModel!$G$30:$M$30)/SUM(S10:Y10))</f>
        <v>0</v>
      </c>
      <c r="CK10" s="151">
        <f>IF(SUM(AA10:AH10)=0,0,TheModel!$G$31)</f>
        <v>0</v>
      </c>
      <c r="CL10" s="151">
        <f>IF(SUM(AI10:AP10)=0,0,TheModel!$G$32)</f>
        <v>0</v>
      </c>
      <c r="CM10" s="13">
        <f>IF(SUM(AQ10:AX10)=0,0,SUMPRODUCT(AQ10:AW10,TheModel!$G$33:$M$33)/SUM(AQ10:AW10))</f>
        <v>0</v>
      </c>
      <c r="CN10" s="13">
        <f>IF(SUM(AY10:BF10)=0,0,SUMPRODUCT(AY10:BE10,TheModel!$G$34:$M$34)/SUM(AY10:BE10))</f>
        <v>0</v>
      </c>
      <c r="CO10" s="151">
        <f>IF(SUM(BG10:BN10)=0,0,TheModel!$J$35)</f>
        <v>0</v>
      </c>
      <c r="CP10" s="151">
        <f>IF(SUM(BO10:BV10)=0,0,TheModel!$J$36)</f>
        <v>0</v>
      </c>
      <c r="CQ10" s="151">
        <f>IF(SUM(BW10:CC10)=0,0,SUMPRODUCT(BW10:CC10,TheModel!$G$37:$M$37)/SUM(BW10:CC10))</f>
        <v>0</v>
      </c>
      <c r="CS10" s="225" t="e">
        <f t="array" ref="CS10">SUM(C10:I10*CN_PER)/SUM(C10:I10)</f>
        <v>#DIV/0!</v>
      </c>
      <c r="CT10" s="126" t="e">
        <f t="array" ref="CT10">SUM(AY10:BE10*CN_PER)/SUM(AY10:BE10)</f>
        <v>#DIV/0!</v>
      </c>
      <c r="CU10" s="225" t="e">
        <f t="array" ref="CU10">SUM(S10:Y10*CN_TCP)/SUM(S10:Y10)</f>
        <v>#DIV/0!</v>
      </c>
      <c r="CV10" s="126" t="e">
        <f t="array" ref="CV10">SUM(S10:Y10*CN_FOS)/SUM(S10:Y10)</f>
        <v>#DIV/0!</v>
      </c>
    </row>
    <row r="11" spans="1:100" s="126" customFormat="1" ht="15.75" thickBot="1" x14ac:dyDescent="0.3">
      <c r="A11" s="149">
        <v>6</v>
      </c>
      <c r="B11" s="319"/>
      <c r="C11" s="152"/>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2"/>
      <c r="AJ11" s="152"/>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c r="BJ11" s="152"/>
      <c r="BK11" s="152"/>
      <c r="BL11" s="152"/>
      <c r="BM11" s="152"/>
      <c r="BN11" s="152"/>
      <c r="BO11" s="152"/>
      <c r="BP11" s="152"/>
      <c r="BQ11" s="152"/>
      <c r="BR11" s="152"/>
      <c r="BS11" s="152"/>
      <c r="BT11" s="152"/>
      <c r="BU11" s="152"/>
      <c r="BV11" s="152"/>
      <c r="BW11" s="152"/>
      <c r="BX11" s="152"/>
      <c r="BY11" s="152"/>
      <c r="BZ11" s="152"/>
      <c r="CA11" s="152"/>
      <c r="CB11" s="152"/>
      <c r="CC11" s="152"/>
      <c r="CD11" s="152"/>
      <c r="CE11" s="150">
        <f t="shared" si="3"/>
        <v>0</v>
      </c>
      <c r="CF11" s="126" t="e">
        <f>CE11/Landcover!M10</f>
        <v>#DIV/0!</v>
      </c>
      <c r="CG11" s="125">
        <v>6</v>
      </c>
      <c r="CH11" s="13">
        <f>IF(SUM(C11:J11)=0,0,SUMPRODUCT(C11:I11,TheModel!$G$28:$M$28)/SUM(C11:I11))</f>
        <v>0</v>
      </c>
      <c r="CI11" s="13">
        <f>IF(SUM(K11:R11)=0,0,TheModel!$G$29)</f>
        <v>0</v>
      </c>
      <c r="CJ11" s="13">
        <f>IF(SUM(S11:Z11)=0,0,SUMPRODUCT(S11:Y11,TheModel!$G$30:$M$30)/SUM(S11:Y11))</f>
        <v>0</v>
      </c>
      <c r="CK11" s="151">
        <f>IF(SUM(AA11:AH11)=0,0,TheModel!$G$31)</f>
        <v>0</v>
      </c>
      <c r="CL11" s="151">
        <f>IF(SUM(AI11:AP11)=0,0,TheModel!$G$32)</f>
        <v>0</v>
      </c>
      <c r="CM11" s="13">
        <f>IF(SUM(AQ11:AX11)=0,0,SUMPRODUCT(AQ11:AW11,TheModel!$G$33:$M$33)/SUM(AQ11:AW11))</f>
        <v>0</v>
      </c>
      <c r="CN11" s="13">
        <f>IF(SUM(AY11:BF11)=0,0,SUMPRODUCT(AY11:BE11,TheModel!$G$34:$M$34)/SUM(AY11:BE11))</f>
        <v>0</v>
      </c>
      <c r="CO11" s="151">
        <f>IF(SUM(BG11:BN11)=0,0,TheModel!$J$35)</f>
        <v>0</v>
      </c>
      <c r="CP11" s="151">
        <f>IF(SUM(BO11:BV11)=0,0,TheModel!$J$36)</f>
        <v>0</v>
      </c>
      <c r="CQ11" s="151">
        <f>IF(SUM(BW11:CC11)=0,0,SUMPRODUCT(BW11:CC11,TheModel!$G$37:$M$37)/SUM(BW11:CC11))</f>
        <v>0</v>
      </c>
      <c r="CS11" s="225" t="e">
        <f t="array" ref="CS11">SUM(C11:I11*CN_PER)/SUM(C11:I11)</f>
        <v>#DIV/0!</v>
      </c>
      <c r="CT11" s="126" t="e">
        <f t="array" ref="CT11">SUM(AY11:BE11*CN_PER)/SUM(AY11:BE11)</f>
        <v>#DIV/0!</v>
      </c>
      <c r="CU11" s="225" t="e">
        <f t="array" ref="CU11">SUM(S11:Y11*CN_TCP)/SUM(S11:Y11)</f>
        <v>#DIV/0!</v>
      </c>
      <c r="CV11" s="126" t="e">
        <f t="array" ref="CV11">SUM(S11:Y11*CN_FOS)/SUM(S11:Y11)</f>
        <v>#DIV/0!</v>
      </c>
    </row>
    <row r="12" spans="1:100" s="126" customFormat="1" ht="15.75" thickBot="1" x14ac:dyDescent="0.3">
      <c r="A12" s="149">
        <v>7</v>
      </c>
      <c r="B12" s="319"/>
      <c r="C12" s="152"/>
      <c r="D12" s="152"/>
      <c r="E12" s="152"/>
      <c r="F12" s="152"/>
      <c r="G12" s="152"/>
      <c r="H12" s="152"/>
      <c r="I12" s="152"/>
      <c r="J12" s="152"/>
      <c r="K12" s="152"/>
      <c r="L12" s="153"/>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c r="AN12" s="152"/>
      <c r="AO12" s="152"/>
      <c r="AP12" s="152"/>
      <c r="AQ12" s="152"/>
      <c r="AR12" s="152"/>
      <c r="AS12" s="152"/>
      <c r="AT12" s="152"/>
      <c r="AU12" s="152"/>
      <c r="AV12" s="152"/>
      <c r="AW12" s="152"/>
      <c r="AX12" s="152"/>
      <c r="AY12" s="152"/>
      <c r="AZ12" s="152"/>
      <c r="BA12" s="152"/>
      <c r="BB12" s="152"/>
      <c r="BC12" s="152"/>
      <c r="BD12" s="152"/>
      <c r="BE12" s="152"/>
      <c r="BF12" s="152"/>
      <c r="BG12" s="152"/>
      <c r="BH12" s="152"/>
      <c r="BI12" s="152"/>
      <c r="BJ12" s="152"/>
      <c r="BK12" s="152"/>
      <c r="BL12" s="152"/>
      <c r="BM12" s="152"/>
      <c r="BN12" s="152"/>
      <c r="BO12" s="152"/>
      <c r="BP12" s="152"/>
      <c r="BQ12" s="152"/>
      <c r="BR12" s="152"/>
      <c r="BS12" s="152"/>
      <c r="BT12" s="152"/>
      <c r="BU12" s="152"/>
      <c r="BV12" s="152"/>
      <c r="BW12" s="152"/>
      <c r="BX12" s="152"/>
      <c r="BY12" s="152"/>
      <c r="BZ12" s="152"/>
      <c r="CA12" s="152"/>
      <c r="CB12" s="152"/>
      <c r="CC12" s="152"/>
      <c r="CD12" s="152"/>
      <c r="CE12" s="150">
        <f t="shared" si="3"/>
        <v>0</v>
      </c>
      <c r="CG12" s="125">
        <v>7</v>
      </c>
      <c r="CH12" s="13">
        <f>IF(SUM(C12:J12)=0,0,SUMPRODUCT(C12:I12,TheModel!$G$28:$M$28)/SUM(C12:I12))</f>
        <v>0</v>
      </c>
      <c r="CI12" s="13">
        <f>IF(SUM(K12:R12)=0,0,TheModel!$G$29)</f>
        <v>0</v>
      </c>
      <c r="CJ12" s="13">
        <f>IF(SUM(S12:Z12)=0,0,SUMPRODUCT(S12:Y12,TheModel!$G$30:$M$30)/SUM(S12:Y12))</f>
        <v>0</v>
      </c>
      <c r="CK12" s="151">
        <f>IF(SUM(AA12:AH12)=0,0,TheModel!$G$31)</f>
        <v>0</v>
      </c>
      <c r="CL12" s="151">
        <f>IF(SUM(AI12:AP12)=0,0,TheModel!$G$32)</f>
        <v>0</v>
      </c>
      <c r="CM12" s="13">
        <f>IF(SUM(AQ12:AX12)=0,0,SUMPRODUCT(AQ12:AW12,TheModel!$G$33:$M$33)/SUM(AQ12:AW12))</f>
        <v>0</v>
      </c>
      <c r="CN12" s="13">
        <f>IF(SUM(AY12:BF12)=0,0,SUMPRODUCT(AY12:BE12,TheModel!$G$34:$M$34)/SUM(AY12:BE12))</f>
        <v>0</v>
      </c>
      <c r="CO12" s="151">
        <f>IF(SUM(BG12:BN12)=0,0,TheModel!$J$35)</f>
        <v>0</v>
      </c>
      <c r="CP12" s="151">
        <f>IF(SUM(BO12:BV12)=0,0,TheModel!$J$36)</f>
        <v>0</v>
      </c>
      <c r="CQ12" s="151">
        <f>IF(SUM(BW12:CC12)=0,0,SUMPRODUCT(BW12:CC12,TheModel!$G$37:$M$37)/SUM(BW12:CC12))</f>
        <v>0</v>
      </c>
      <c r="CS12" s="225" t="e">
        <f t="array" ref="CS12">SUM(C12:I12*CN_PER)/SUM(C12:I12)</f>
        <v>#DIV/0!</v>
      </c>
      <c r="CT12" s="126" t="e">
        <f t="array" ref="CT12">SUM(AY12:BE12*CN_PER)/SUM(AY12:BE12)</f>
        <v>#DIV/0!</v>
      </c>
      <c r="CU12" s="225" t="e">
        <f t="array" ref="CU12">SUM(S12:Y12*CN_TCP)/SUM(S12:Y12)</f>
        <v>#DIV/0!</v>
      </c>
      <c r="CV12" s="126" t="e">
        <f t="array" ref="CV12">SUM(S12:Y12*CN_FOS)/SUM(S12:Y12)</f>
        <v>#DIV/0!</v>
      </c>
    </row>
    <row r="13" spans="1:100" s="126" customFormat="1" ht="15.75" thickBot="1" x14ac:dyDescent="0.3">
      <c r="A13" s="149">
        <v>8</v>
      </c>
      <c r="B13" s="319"/>
      <c r="C13" s="152"/>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52"/>
      <c r="BK13" s="152"/>
      <c r="BL13" s="152"/>
      <c r="BM13" s="152"/>
      <c r="BN13" s="152"/>
      <c r="BO13" s="152"/>
      <c r="BP13" s="152"/>
      <c r="BQ13" s="152"/>
      <c r="BR13" s="152"/>
      <c r="BS13" s="152"/>
      <c r="BT13" s="152"/>
      <c r="BU13" s="152"/>
      <c r="BV13" s="152"/>
      <c r="BW13" s="152"/>
      <c r="BX13" s="152"/>
      <c r="BY13" s="152"/>
      <c r="BZ13" s="152"/>
      <c r="CA13" s="152"/>
      <c r="CB13" s="152"/>
      <c r="CC13" s="152"/>
      <c r="CD13" s="152"/>
      <c r="CE13" s="150">
        <f t="shared" si="3"/>
        <v>0</v>
      </c>
      <c r="CG13" s="125">
        <v>8</v>
      </c>
      <c r="CH13" s="13">
        <f>IF(SUM(C13:J13)=0,0,SUMPRODUCT(C13:I13,TheModel!$G$28:$M$28)/SUM(C13:I13))</f>
        <v>0</v>
      </c>
      <c r="CI13" s="13">
        <f>IF(SUM(K13:R13)=0,0,TheModel!$G$29)</f>
        <v>0</v>
      </c>
      <c r="CJ13" s="13">
        <f>IF(SUM(S13:Z13)=0,0,SUMPRODUCT(S13:Y13,TheModel!$G$30:$M$30)/SUM(S13:Y13))</f>
        <v>0</v>
      </c>
      <c r="CK13" s="151">
        <f>IF(SUM(AA13:AH13)=0,0,TheModel!$G$31)</f>
        <v>0</v>
      </c>
      <c r="CL13" s="151">
        <f>IF(SUM(AI13:AP13)=0,0,TheModel!$G$32)</f>
        <v>0</v>
      </c>
      <c r="CM13" s="13">
        <f>IF(SUM(AQ13:AX13)=0,0,SUMPRODUCT(AQ13:AW13,TheModel!$G$33:$M$33)/SUM(AQ13:AW13))</f>
        <v>0</v>
      </c>
      <c r="CN13" s="13">
        <f>IF(SUM(AY13:BF13)=0,0,SUMPRODUCT(AY13:BE13,TheModel!$G$34:$M$34)/SUM(AY13:BE13))</f>
        <v>0</v>
      </c>
      <c r="CO13" s="151">
        <f>IF(SUM(BG13:BN13)=0,0,TheModel!$J$35)</f>
        <v>0</v>
      </c>
      <c r="CP13" s="151">
        <f>IF(SUM(BO13:BV13)=0,0,TheModel!$J$36)</f>
        <v>0</v>
      </c>
      <c r="CQ13" s="151">
        <f>IF(SUM(BW13:CC13)=0,0,SUMPRODUCT(BW13:CC13,TheModel!$G$37:$M$37)/SUM(BW13:CC13))</f>
        <v>0</v>
      </c>
      <c r="CS13" s="225" t="e">
        <f t="array" ref="CS13">SUM(C13:I13*CN_PER)/SUM(C13:I13)</f>
        <v>#DIV/0!</v>
      </c>
      <c r="CT13" s="126" t="e">
        <f t="array" ref="CT13">SUM(AY13:BE13*CN_PER)/SUM(AY13:BE13)</f>
        <v>#DIV/0!</v>
      </c>
      <c r="CU13" s="225" t="e">
        <f t="array" ref="CU13">SUM(S13:Y13*CN_TCP)/SUM(S13:Y13)</f>
        <v>#DIV/0!</v>
      </c>
      <c r="CV13" s="126" t="e">
        <f t="array" ref="CV13">SUM(S13:Y13*CN_FOS)/SUM(S13:Y13)</f>
        <v>#DIV/0!</v>
      </c>
    </row>
    <row r="14" spans="1:100" s="126" customFormat="1" ht="15.75" thickBot="1" x14ac:dyDescent="0.3">
      <c r="A14" s="149">
        <v>9</v>
      </c>
      <c r="B14" s="319"/>
      <c r="C14" s="152"/>
      <c r="D14" s="152"/>
      <c r="E14" s="152"/>
      <c r="F14" s="152"/>
      <c r="G14" s="152"/>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c r="AN14" s="152"/>
      <c r="AO14" s="152"/>
      <c r="AP14" s="152"/>
      <c r="AQ14" s="152"/>
      <c r="AR14" s="152"/>
      <c r="AS14" s="152"/>
      <c r="AT14" s="152"/>
      <c r="AU14" s="152"/>
      <c r="AV14" s="152"/>
      <c r="AW14" s="152"/>
      <c r="AX14" s="152"/>
      <c r="AY14" s="152"/>
      <c r="AZ14" s="152"/>
      <c r="BA14" s="152"/>
      <c r="BB14" s="152"/>
      <c r="BC14" s="152"/>
      <c r="BD14" s="152"/>
      <c r="BE14" s="152"/>
      <c r="BF14" s="152"/>
      <c r="BG14" s="152"/>
      <c r="BH14" s="152"/>
      <c r="BI14" s="152"/>
      <c r="BJ14" s="152"/>
      <c r="BK14" s="152"/>
      <c r="BL14" s="152"/>
      <c r="BM14" s="152"/>
      <c r="BN14" s="152"/>
      <c r="BO14" s="152"/>
      <c r="BP14" s="152"/>
      <c r="BQ14" s="152"/>
      <c r="BR14" s="152"/>
      <c r="BS14" s="152"/>
      <c r="BT14" s="152"/>
      <c r="BU14" s="152"/>
      <c r="BV14" s="152"/>
      <c r="BW14" s="152"/>
      <c r="BX14" s="152"/>
      <c r="BY14" s="152"/>
      <c r="BZ14" s="152"/>
      <c r="CA14" s="152"/>
      <c r="CB14" s="152"/>
      <c r="CC14" s="152"/>
      <c r="CD14" s="152"/>
      <c r="CE14" s="150">
        <f t="shared" si="3"/>
        <v>0</v>
      </c>
      <c r="CG14" s="125">
        <v>9</v>
      </c>
      <c r="CH14" s="13">
        <f>IF(SUM(C14:J14)=0,0,SUMPRODUCT(C14:I14,TheModel!$G$28:$M$28)/SUM(C14:I14))</f>
        <v>0</v>
      </c>
      <c r="CI14" s="13">
        <f>IF(SUM(K14:R14)=0,0,TheModel!$G$29)</f>
        <v>0</v>
      </c>
      <c r="CJ14" s="13">
        <f>IF(SUM(S14:Z14)=0,0,SUMPRODUCT(S14:Y14,TheModel!$G$30:$M$30)/SUM(S14:Y14))</f>
        <v>0</v>
      </c>
      <c r="CK14" s="151">
        <f>IF(SUM(AA14:AH14)=0,0,TheModel!$G$31)</f>
        <v>0</v>
      </c>
      <c r="CL14" s="151">
        <f>IF(SUM(AI14:AP14)=0,0,TheModel!$G$32)</f>
        <v>0</v>
      </c>
      <c r="CM14" s="13">
        <f>IF(SUM(AQ14:AX14)=0,0,SUMPRODUCT(AQ14:AW14,TheModel!$G$33:$M$33)/SUM(AQ14:AW14))</f>
        <v>0</v>
      </c>
      <c r="CN14" s="13">
        <f>IF(SUM(AY14:BF14)=0,0,SUMPRODUCT(AY14:BE14,TheModel!$G$34:$M$34)/SUM(AY14:BE14))</f>
        <v>0</v>
      </c>
      <c r="CO14" s="151">
        <f>IF(SUM(BG14:BN14)=0,0,TheModel!$J$35)</f>
        <v>0</v>
      </c>
      <c r="CP14" s="151">
        <f>IF(SUM(BO14:BV14)=0,0,TheModel!$J$36)</f>
        <v>0</v>
      </c>
      <c r="CQ14" s="151">
        <f>IF(SUM(BW14:CC14)=0,0,SUMPRODUCT(BW14:CC14,TheModel!$G$37:$M$37)/SUM(BW14:CC14))</f>
        <v>0</v>
      </c>
      <c r="CS14" s="225" t="e">
        <f t="array" ref="CS14">SUM(C14:I14*CN_PER)/SUM(C14:I14)</f>
        <v>#DIV/0!</v>
      </c>
      <c r="CT14" s="126" t="e">
        <f t="array" ref="CT14">SUM(AY14:BE14*CN_PER)/SUM(AY14:BE14)</f>
        <v>#DIV/0!</v>
      </c>
      <c r="CU14" s="225" t="e">
        <f t="array" ref="CU14">SUM(S14:Y14*CN_TCP)/SUM(S14:Y14)</f>
        <v>#DIV/0!</v>
      </c>
      <c r="CV14" s="126" t="e">
        <f t="array" ref="CV14">SUM(S14:Y14*CN_FOS)/SUM(S14:Y14)</f>
        <v>#DIV/0!</v>
      </c>
    </row>
    <row r="15" spans="1:100" s="126" customFormat="1" ht="15.75" thickBot="1" x14ac:dyDescent="0.3">
      <c r="A15" s="149">
        <v>10</v>
      </c>
      <c r="B15" s="319"/>
      <c r="C15" s="152"/>
      <c r="D15" s="152"/>
      <c r="E15" s="152"/>
      <c r="F15" s="152"/>
      <c r="G15" s="152"/>
      <c r="H15" s="152"/>
      <c r="I15" s="152"/>
      <c r="J15" s="152"/>
      <c r="K15" s="152"/>
      <c r="L15" s="152"/>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2"/>
      <c r="AJ15" s="152"/>
      <c r="AK15" s="152"/>
      <c r="AL15" s="152"/>
      <c r="AM15" s="152"/>
      <c r="AN15" s="152"/>
      <c r="AO15" s="152"/>
      <c r="AP15" s="152"/>
      <c r="AQ15" s="152"/>
      <c r="AR15" s="152"/>
      <c r="AS15" s="152"/>
      <c r="AT15" s="152"/>
      <c r="AU15" s="152"/>
      <c r="AV15" s="152"/>
      <c r="AW15" s="152"/>
      <c r="AX15" s="152"/>
      <c r="AY15" s="152"/>
      <c r="AZ15" s="152"/>
      <c r="BA15" s="152"/>
      <c r="BB15" s="152"/>
      <c r="BC15" s="152"/>
      <c r="BD15" s="152"/>
      <c r="BE15" s="152"/>
      <c r="BF15" s="152"/>
      <c r="BG15" s="152"/>
      <c r="BH15" s="152"/>
      <c r="BI15" s="152"/>
      <c r="BJ15" s="152"/>
      <c r="BK15" s="152"/>
      <c r="BL15" s="152"/>
      <c r="BM15" s="152"/>
      <c r="BN15" s="152"/>
      <c r="BO15" s="152"/>
      <c r="BP15" s="152"/>
      <c r="BQ15" s="152"/>
      <c r="BR15" s="152"/>
      <c r="BS15" s="152"/>
      <c r="BT15" s="152"/>
      <c r="BU15" s="152"/>
      <c r="BV15" s="152"/>
      <c r="BW15" s="152"/>
      <c r="BX15" s="152"/>
      <c r="BY15" s="152"/>
      <c r="BZ15" s="152"/>
      <c r="CA15" s="152"/>
      <c r="CB15" s="152"/>
      <c r="CC15" s="152"/>
      <c r="CD15" s="152"/>
      <c r="CE15" s="150">
        <f t="shared" si="3"/>
        <v>0</v>
      </c>
      <c r="CG15" s="125">
        <v>10</v>
      </c>
      <c r="CH15" s="13">
        <f>IF(SUM(C15:J15)=0,0,SUMPRODUCT(C15:I15,TheModel!$G$28:$M$28)/SUM(C15:I15))</f>
        <v>0</v>
      </c>
      <c r="CI15" s="13">
        <f>IF(SUM(K15:R15)=0,0,TheModel!$G$29)</f>
        <v>0</v>
      </c>
      <c r="CJ15" s="13">
        <f>IF(SUM(S15:Z15)=0,0,SUMPRODUCT(S15:Y15,TheModel!$G$30:$M$30)/SUM(S15:Y15))</f>
        <v>0</v>
      </c>
      <c r="CK15" s="151">
        <f>IF(SUM(AA15:AH15)=0,0,TheModel!$G$31)</f>
        <v>0</v>
      </c>
      <c r="CL15" s="151">
        <f>IF(SUM(AI15:AP15)=0,0,TheModel!$G$32)</f>
        <v>0</v>
      </c>
      <c r="CM15" s="13">
        <f>IF(SUM(AQ15:AX15)=0,0,SUMPRODUCT(AQ15:AW15,TheModel!$G$33:$M$33)/SUM(AQ15:AW15))</f>
        <v>0</v>
      </c>
      <c r="CN15" s="13">
        <f>IF(SUM(AY15:BF15)=0,0,SUMPRODUCT(AY15:BE15,TheModel!$G$34:$M$34)/SUM(AY15:BE15))</f>
        <v>0</v>
      </c>
      <c r="CO15" s="151">
        <f>IF(SUM(BG15:BN15)=0,0,TheModel!$J$35)</f>
        <v>0</v>
      </c>
      <c r="CP15" s="151">
        <f>IF(SUM(BO15:BV15)=0,0,TheModel!$J$36)</f>
        <v>0</v>
      </c>
      <c r="CQ15" s="151">
        <f>IF(SUM(BW15:CC15)=0,0,SUMPRODUCT(BW15:CC15,TheModel!$G$37:$M$37)/SUM(BW15:CC15))</f>
        <v>0</v>
      </c>
      <c r="CS15" s="225" t="e">
        <f t="array" ref="CS15">SUM(C15:I15*CN_PER)/SUM(C15:I15)</f>
        <v>#DIV/0!</v>
      </c>
      <c r="CT15" s="126" t="e">
        <f t="array" ref="CT15">SUM(AY15:BE15*CN_PER)/SUM(AY15:BE15)</f>
        <v>#DIV/0!</v>
      </c>
      <c r="CU15" s="225" t="e">
        <f t="array" ref="CU15">SUM(S15:Y15*CN_TCP)/SUM(S15:Y15)</f>
        <v>#DIV/0!</v>
      </c>
      <c r="CV15" s="126" t="e">
        <f t="array" ref="CV15">SUM(S15:Y15*CN_FOS)/SUM(S15:Y15)</f>
        <v>#DIV/0!</v>
      </c>
    </row>
    <row r="16" spans="1:100" s="126" customFormat="1" ht="15.75" thickBot="1" x14ac:dyDescent="0.3">
      <c r="A16" s="149">
        <v>11</v>
      </c>
      <c r="B16" s="319"/>
      <c r="C16" s="152"/>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2"/>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152"/>
      <c r="BL16" s="152"/>
      <c r="BM16" s="152"/>
      <c r="BN16" s="152"/>
      <c r="BO16" s="152"/>
      <c r="BP16" s="152"/>
      <c r="BQ16" s="152"/>
      <c r="BR16" s="152"/>
      <c r="BS16" s="152"/>
      <c r="BT16" s="152"/>
      <c r="BU16" s="152"/>
      <c r="BV16" s="152"/>
      <c r="BW16" s="152"/>
      <c r="BX16" s="152"/>
      <c r="BY16" s="152"/>
      <c r="BZ16" s="152"/>
      <c r="CA16" s="152"/>
      <c r="CB16" s="152"/>
      <c r="CC16" s="152"/>
      <c r="CD16" s="152"/>
      <c r="CE16" s="150">
        <f t="shared" si="3"/>
        <v>0</v>
      </c>
      <c r="CG16" s="125">
        <v>11</v>
      </c>
      <c r="CH16" s="13">
        <f>IF(SUM(C16:J16)=0,0,SUMPRODUCT(C16:I16,TheModel!$G$28:$M$28)/SUM(C16:I16))</f>
        <v>0</v>
      </c>
      <c r="CI16" s="13">
        <f>IF(SUM(K16:R16)=0,0,TheModel!$G$29)</f>
        <v>0</v>
      </c>
      <c r="CJ16" s="13">
        <f>IF(SUM(S16:Z16)=0,0,SUMPRODUCT(S16:Y16,TheModel!$G$30:$M$30)/SUM(S16:Y16))</f>
        <v>0</v>
      </c>
      <c r="CK16" s="151">
        <f>IF(SUM(AA16:AH16)=0,0,TheModel!$G$31)</f>
        <v>0</v>
      </c>
      <c r="CL16" s="151">
        <f>IF(SUM(AI16:AP16)=0,0,TheModel!$G$32)</f>
        <v>0</v>
      </c>
      <c r="CM16" s="13">
        <f>IF(SUM(AQ16:AX16)=0,0,SUMPRODUCT(AQ16:AW16,TheModel!$G$33:$M$33)/SUM(AQ16:AW16))</f>
        <v>0</v>
      </c>
      <c r="CN16" s="13">
        <f>IF(SUM(AY16:BF16)=0,0,SUMPRODUCT(AY16:BE16,TheModel!$G$34:$M$34)/SUM(AY16:BE16))</f>
        <v>0</v>
      </c>
      <c r="CO16" s="151">
        <f>IF(SUM(BG16:BN16)=0,0,TheModel!$J$35)</f>
        <v>0</v>
      </c>
      <c r="CP16" s="151">
        <f>IF(SUM(BO16:BV16)=0,0,TheModel!$J$35)</f>
        <v>0</v>
      </c>
      <c r="CQ16" s="151">
        <f>IF(SUM(BW16:CD16)=0,0,TheModel!$J$35)</f>
        <v>0</v>
      </c>
      <c r="CS16" s="225" t="e">
        <f t="array" ref="CS16">SUM(C16:I16*CN_PER)/SUM(C16:I16)</f>
        <v>#DIV/0!</v>
      </c>
      <c r="CT16" s="126" t="e">
        <f t="array" ref="CT16">SUM(AY16:BE16*CN_PER)/SUM(AY16:BE16)</f>
        <v>#DIV/0!</v>
      </c>
      <c r="CU16" s="225" t="e">
        <f t="array" ref="CU16">SUM(S16:Y16*CN_TCP)/SUM(S16:Y16)</f>
        <v>#DIV/0!</v>
      </c>
      <c r="CV16" s="126" t="e">
        <f t="array" ref="CV16">SUM(S16:Y16*CN_FOS)/SUM(S16:Y16)</f>
        <v>#DIV/0!</v>
      </c>
    </row>
    <row r="17" spans="1:100" s="126" customFormat="1" ht="15.75" thickBot="1" x14ac:dyDescent="0.3">
      <c r="A17" s="149">
        <v>12</v>
      </c>
      <c r="B17" s="319"/>
      <c r="C17" s="152"/>
      <c r="D17" s="152"/>
      <c r="E17" s="152"/>
      <c r="F17" s="152"/>
      <c r="G17" s="152"/>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c r="AF17" s="152"/>
      <c r="AG17" s="152"/>
      <c r="AH17" s="152"/>
      <c r="AI17" s="152"/>
      <c r="AJ17" s="152"/>
      <c r="AK17" s="152"/>
      <c r="AL17" s="152"/>
      <c r="AM17" s="152"/>
      <c r="AN17" s="152"/>
      <c r="AO17" s="152"/>
      <c r="AP17" s="152"/>
      <c r="AQ17" s="152"/>
      <c r="AR17" s="152"/>
      <c r="AS17" s="152"/>
      <c r="AT17" s="152"/>
      <c r="AU17" s="152"/>
      <c r="AV17" s="152"/>
      <c r="AW17" s="152"/>
      <c r="AX17" s="152"/>
      <c r="AY17" s="152"/>
      <c r="AZ17" s="152"/>
      <c r="BA17" s="152"/>
      <c r="BB17" s="152"/>
      <c r="BC17" s="152"/>
      <c r="BD17" s="152"/>
      <c r="BE17" s="152"/>
      <c r="BF17" s="152"/>
      <c r="BG17" s="152"/>
      <c r="BH17" s="152"/>
      <c r="BI17" s="152"/>
      <c r="BJ17" s="152"/>
      <c r="BK17" s="152"/>
      <c r="BL17" s="152"/>
      <c r="BM17" s="152"/>
      <c r="BN17" s="152"/>
      <c r="BO17" s="152"/>
      <c r="BP17" s="152"/>
      <c r="BQ17" s="152"/>
      <c r="BR17" s="152"/>
      <c r="BS17" s="152"/>
      <c r="BT17" s="152"/>
      <c r="BU17" s="152"/>
      <c r="BV17" s="152"/>
      <c r="BW17" s="152"/>
      <c r="BX17" s="152"/>
      <c r="BY17" s="152"/>
      <c r="BZ17" s="152"/>
      <c r="CA17" s="152"/>
      <c r="CB17" s="152"/>
      <c r="CC17" s="152"/>
      <c r="CD17" s="152"/>
      <c r="CE17" s="150">
        <f t="shared" si="3"/>
        <v>0</v>
      </c>
      <c r="CG17" s="125">
        <v>12</v>
      </c>
      <c r="CH17" s="13">
        <f>IF(SUM(C17:J17)=0,0,SUMPRODUCT(C17:I17,TheModel!$G$28:$M$28)/SUM(C17:I17))</f>
        <v>0</v>
      </c>
      <c r="CI17" s="13">
        <f>IF(SUM(K17:R17)=0,0,TheModel!$G$29)</f>
        <v>0</v>
      </c>
      <c r="CJ17" s="13">
        <f>IF(SUM(S17:Z17)=0,0,SUMPRODUCT(S17:Y17,TheModel!$G$30:$M$30)/SUM(S17:Y17))</f>
        <v>0</v>
      </c>
      <c r="CK17" s="151">
        <f>IF(SUM(AA17:AH17)=0,0,TheModel!$G$31)</f>
        <v>0</v>
      </c>
      <c r="CL17" s="151">
        <f>IF(SUM(AI17:AP17)=0,0,TheModel!$G$32)</f>
        <v>0</v>
      </c>
      <c r="CM17" s="13">
        <f>IF(SUM(AQ17:AX17)=0,0,SUMPRODUCT(AQ17:AW17,TheModel!$G$33:$M$33)/SUM(AQ17:AW17))</f>
        <v>0</v>
      </c>
      <c r="CN17" s="13">
        <f>IF(SUM(AY17:BF17)=0,0,SUMPRODUCT(AY17:BE17,TheModel!$G$34:$M$34)/SUM(AY17:BE17))</f>
        <v>0</v>
      </c>
      <c r="CO17" s="151">
        <f>IF(SUM(BG17:BN17)=0,0,TheModel!$J$35)</f>
        <v>0</v>
      </c>
      <c r="CP17" s="151">
        <f>IF(SUM(BO17:BV17)=0,0,TheModel!$J$35)</f>
        <v>0</v>
      </c>
      <c r="CQ17" s="151">
        <f>IF(SUM(BW17:CD17)=0,0,TheModel!$J$35)</f>
        <v>0</v>
      </c>
      <c r="CS17" s="225" t="e">
        <f t="array" ref="CS17">SUM(C17:I17*CN_PER)/SUM(C17:I17)</f>
        <v>#DIV/0!</v>
      </c>
      <c r="CT17" s="126" t="e">
        <f t="array" ref="CT17">SUM(AY17:BE17*CN_PER)/SUM(AY17:BE17)</f>
        <v>#DIV/0!</v>
      </c>
      <c r="CU17" s="225" t="e">
        <f t="array" ref="CU17">SUM(S17:Y17*CN_TCP)/SUM(S17:Y17)</f>
        <v>#DIV/0!</v>
      </c>
      <c r="CV17" s="126" t="e">
        <f t="array" ref="CV17">SUM(S17:Y17*CN_FOS)/SUM(S17:Y17)</f>
        <v>#DIV/0!</v>
      </c>
    </row>
    <row r="18" spans="1:100" s="126" customFormat="1" ht="15.75" thickBot="1" x14ac:dyDescent="0.3">
      <c r="A18" s="149">
        <v>13</v>
      </c>
      <c r="B18" s="319"/>
      <c r="C18" s="152"/>
      <c r="D18" s="152"/>
      <c r="E18" s="152"/>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152"/>
      <c r="AT18" s="152"/>
      <c r="AU18" s="152"/>
      <c r="AV18" s="152"/>
      <c r="AW18" s="152"/>
      <c r="AX18" s="152"/>
      <c r="AY18" s="152"/>
      <c r="AZ18" s="152"/>
      <c r="BA18" s="152"/>
      <c r="BB18" s="152"/>
      <c r="BC18" s="152"/>
      <c r="BD18" s="152"/>
      <c r="BE18" s="152"/>
      <c r="BF18" s="152"/>
      <c r="BG18" s="152"/>
      <c r="BH18" s="152"/>
      <c r="BI18" s="152"/>
      <c r="BJ18" s="152"/>
      <c r="BK18" s="152"/>
      <c r="BL18" s="152"/>
      <c r="BM18" s="152"/>
      <c r="BN18" s="152"/>
      <c r="BO18" s="152"/>
      <c r="BP18" s="152"/>
      <c r="BQ18" s="152"/>
      <c r="BR18" s="152"/>
      <c r="BS18" s="152"/>
      <c r="BT18" s="152"/>
      <c r="BU18" s="152"/>
      <c r="BV18" s="152"/>
      <c r="BW18" s="152"/>
      <c r="BX18" s="152"/>
      <c r="BY18" s="152"/>
      <c r="BZ18" s="152"/>
      <c r="CA18" s="152"/>
      <c r="CB18" s="152"/>
      <c r="CC18" s="152"/>
      <c r="CD18" s="152"/>
      <c r="CE18" s="150">
        <f t="shared" si="3"/>
        <v>0</v>
      </c>
      <c r="CG18" s="125">
        <v>13</v>
      </c>
      <c r="CH18" s="13">
        <f>IF(SUM(C18:J18)=0,0,SUMPRODUCT(C18:I18,TheModel!$G$28:$M$28)/SUM(C18:I18))</f>
        <v>0</v>
      </c>
      <c r="CI18" s="13">
        <f>IF(SUM(K18:R18)=0,0,TheModel!$G$29)</f>
        <v>0</v>
      </c>
      <c r="CJ18" s="13">
        <f>IF(SUM(S18:Z18)=0,0,SUMPRODUCT(S18:Y18,TheModel!$G$30:$M$30)/SUM(S18:Y18))</f>
        <v>0</v>
      </c>
      <c r="CK18" s="151">
        <f>IF(SUM(AA18:AH18)=0,0,TheModel!$G$31)</f>
        <v>0</v>
      </c>
      <c r="CL18" s="151">
        <f>IF(SUM(AI18:AP18)=0,0,TheModel!$G$32)</f>
        <v>0</v>
      </c>
      <c r="CM18" s="13">
        <f>IF(SUM(AQ18:AX18)=0,0,SUMPRODUCT(AQ18:AW18,TheModel!$G$33:$M$33)/SUM(AQ18:AW18))</f>
        <v>0</v>
      </c>
      <c r="CN18" s="13">
        <f>IF(SUM(AY18:BF18)=0,0,SUMPRODUCT(AY18:BE18,TheModel!$G$34:$M$34)/SUM(AY18:BE18))</f>
        <v>0</v>
      </c>
      <c r="CO18" s="151">
        <f>IF(SUM(BG18:BN18)=0,0,TheModel!$J$35)</f>
        <v>0</v>
      </c>
      <c r="CP18" s="151">
        <f>IF(SUM(BO18:BV18)=0,0,TheModel!$J$35)</f>
        <v>0</v>
      </c>
      <c r="CQ18" s="151">
        <f>IF(SUM(BW18:CD18)=0,0,TheModel!$J$35)</f>
        <v>0</v>
      </c>
      <c r="CS18" s="225" t="e">
        <f t="array" ref="CS18">SUM(C18:I18*CN_PER)/SUM(C18:I18)</f>
        <v>#DIV/0!</v>
      </c>
      <c r="CT18" s="126" t="e">
        <f t="array" ref="CT18">SUM(AY18:BE18*CN_PER)/SUM(AY18:BE18)</f>
        <v>#DIV/0!</v>
      </c>
      <c r="CU18" s="225" t="e">
        <f t="array" ref="CU18">SUM(S18:Y18*CN_TCP)/SUM(S18:Y18)</f>
        <v>#DIV/0!</v>
      </c>
      <c r="CV18" s="126" t="e">
        <f t="array" ref="CV18">SUM(S18:Y18*CN_FOS)/SUM(S18:Y18)</f>
        <v>#DIV/0!</v>
      </c>
    </row>
    <row r="19" spans="1:100" s="126" customFormat="1" ht="15.75" thickBot="1" x14ac:dyDescent="0.3">
      <c r="A19" s="149">
        <v>14</v>
      </c>
      <c r="B19" s="319"/>
      <c r="C19" s="152"/>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2"/>
      <c r="AU19" s="152"/>
      <c r="AV19" s="152"/>
      <c r="AW19" s="152"/>
      <c r="AX19" s="152"/>
      <c r="AY19" s="152"/>
      <c r="AZ19" s="152"/>
      <c r="BA19" s="152"/>
      <c r="BB19" s="152"/>
      <c r="BC19" s="152"/>
      <c r="BD19" s="152"/>
      <c r="BE19" s="152"/>
      <c r="BF19" s="152"/>
      <c r="BG19" s="152"/>
      <c r="BH19" s="152"/>
      <c r="BI19" s="152"/>
      <c r="BJ19" s="152"/>
      <c r="BK19" s="152"/>
      <c r="BL19" s="152"/>
      <c r="BM19" s="152"/>
      <c r="BN19" s="152"/>
      <c r="BO19" s="152"/>
      <c r="BP19" s="152"/>
      <c r="BQ19" s="152"/>
      <c r="BR19" s="152"/>
      <c r="BS19" s="152"/>
      <c r="BT19" s="152"/>
      <c r="BU19" s="152"/>
      <c r="BV19" s="152"/>
      <c r="BW19" s="152"/>
      <c r="BX19" s="152"/>
      <c r="BY19" s="152"/>
      <c r="BZ19" s="152"/>
      <c r="CA19" s="152"/>
      <c r="CB19" s="152"/>
      <c r="CC19" s="152"/>
      <c r="CD19" s="152"/>
      <c r="CE19" s="150">
        <f t="shared" si="3"/>
        <v>0</v>
      </c>
      <c r="CG19" s="125">
        <v>14</v>
      </c>
      <c r="CH19" s="13">
        <f>IF(SUM(C19:J19)=0,0,SUMPRODUCT(C19:I19,TheModel!$G$28:$M$28)/SUM(C19:I19))</f>
        <v>0</v>
      </c>
      <c r="CI19" s="13">
        <f>IF(SUM(K19:R19)=0,0,TheModel!$G$29)</f>
        <v>0</v>
      </c>
      <c r="CJ19" s="13">
        <f>IF(SUM(S19:Z19)=0,0,SUMPRODUCT(S19:Y19,TheModel!$G$30:$M$30)/SUM(S19:Y19))</f>
        <v>0</v>
      </c>
      <c r="CK19" s="151">
        <f>IF(SUM(AA19:AH19)=0,0,TheModel!$G$31)</f>
        <v>0</v>
      </c>
      <c r="CL19" s="151">
        <f>IF(SUM(AI19:AP19)=0,0,TheModel!$G$32)</f>
        <v>0</v>
      </c>
      <c r="CM19" s="13">
        <f>IF(SUM(AQ19:AX19)=0,0,SUMPRODUCT(AQ19:AW19,TheModel!$G$33:$M$33)/SUM(AQ19:AW19))</f>
        <v>0</v>
      </c>
      <c r="CN19" s="13">
        <f>IF(SUM(AY19:BF19)=0,0,SUMPRODUCT(AY19:BE19,TheModel!$G$34:$M$34)/SUM(AY19:BE19))</f>
        <v>0</v>
      </c>
      <c r="CO19" s="151">
        <f>IF(SUM(BG19:BN19)=0,0,TheModel!$J$35)</f>
        <v>0</v>
      </c>
      <c r="CP19" s="151">
        <f>IF(SUM(BO19:BV19)=0,0,TheModel!$J$35)</f>
        <v>0</v>
      </c>
      <c r="CQ19" s="151">
        <f>IF(SUM(BW19:CD19)=0,0,TheModel!$J$35)</f>
        <v>0</v>
      </c>
      <c r="CS19" s="225" t="e">
        <f t="array" ref="CS19">SUM(C19:I19*CN_PER)/SUM(C19:I19)</f>
        <v>#DIV/0!</v>
      </c>
      <c r="CT19" s="126" t="e">
        <f t="array" ref="CT19">SUM(AY19:BE19*CN_PER)/SUM(AY19:BE19)</f>
        <v>#DIV/0!</v>
      </c>
      <c r="CU19" s="225" t="e">
        <f t="array" ref="CU19">SUM(S19:Y19*CN_TCP)/SUM(S19:Y19)</f>
        <v>#DIV/0!</v>
      </c>
      <c r="CV19" s="126" t="e">
        <f t="array" ref="CV19">SUM(S19:Y19*CN_FOS)/SUM(S19:Y19)</f>
        <v>#DIV/0!</v>
      </c>
    </row>
    <row r="20" spans="1:100" s="126" customFormat="1" ht="15.75" thickBot="1" x14ac:dyDescent="0.3">
      <c r="A20" s="149">
        <v>15</v>
      </c>
      <c r="B20" s="319"/>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2"/>
      <c r="AY20" s="152"/>
      <c r="AZ20" s="152"/>
      <c r="BA20" s="152"/>
      <c r="BB20" s="152"/>
      <c r="BC20" s="152"/>
      <c r="BD20" s="152"/>
      <c r="BE20" s="152"/>
      <c r="BF20" s="152"/>
      <c r="BG20" s="152"/>
      <c r="BH20" s="152"/>
      <c r="BI20" s="152"/>
      <c r="BJ20" s="152"/>
      <c r="BK20" s="152"/>
      <c r="BL20" s="152"/>
      <c r="BM20" s="152"/>
      <c r="BN20" s="152"/>
      <c r="BO20" s="152"/>
      <c r="BP20" s="152"/>
      <c r="BQ20" s="152"/>
      <c r="BR20" s="152"/>
      <c r="BS20" s="152"/>
      <c r="BT20" s="152"/>
      <c r="BU20" s="152"/>
      <c r="BV20" s="152"/>
      <c r="BW20" s="152"/>
      <c r="BX20" s="152"/>
      <c r="BY20" s="152"/>
      <c r="BZ20" s="152"/>
      <c r="CA20" s="152"/>
      <c r="CB20" s="152"/>
      <c r="CC20" s="152"/>
      <c r="CD20" s="152"/>
      <c r="CE20" s="150">
        <f t="shared" si="3"/>
        <v>0</v>
      </c>
      <c r="CG20" s="125">
        <v>15</v>
      </c>
      <c r="CH20" s="13">
        <f>IF(SUM(C20:J20)=0,0,SUMPRODUCT(C20:I20,TheModel!$G$28:$M$28)/SUM(C20:I20))</f>
        <v>0</v>
      </c>
      <c r="CI20" s="13">
        <f>IF(SUM(K20:R20)=0,0,TheModel!$G$29)</f>
        <v>0</v>
      </c>
      <c r="CJ20" s="13">
        <f>IF(SUM(S20:Z20)=0,0,SUMPRODUCT(S20:Y20,TheModel!$G$30:$M$30)/SUM(S20:Y20))</f>
        <v>0</v>
      </c>
      <c r="CK20" s="151">
        <f>IF(SUM(AA20:AH20)=0,0,TheModel!$G$31)</f>
        <v>0</v>
      </c>
      <c r="CL20" s="151">
        <f>IF(SUM(AI20:AP20)=0,0,TheModel!$G$32)</f>
        <v>0</v>
      </c>
      <c r="CM20" s="13">
        <f>IF(SUM(AQ20:AX20)=0,0,SUMPRODUCT(AQ20:AW20,TheModel!$G$33:$M$33)/SUM(AQ20:AW20))</f>
        <v>0</v>
      </c>
      <c r="CN20" s="13">
        <f>IF(SUM(AY20:BF20)=0,0,SUMPRODUCT(AY20:BE20,TheModel!$G$34:$M$34)/SUM(AY20:BE20))</f>
        <v>0</v>
      </c>
      <c r="CO20" s="151">
        <f>IF(SUM(BG20:BN20)=0,0,TheModel!$J$35)</f>
        <v>0</v>
      </c>
      <c r="CP20" s="151">
        <f>IF(SUM(BO20:BV20)=0,0,TheModel!$J$35)</f>
        <v>0</v>
      </c>
      <c r="CQ20" s="151">
        <f>IF(SUM(BW20:CD20)=0,0,TheModel!$J$35)</f>
        <v>0</v>
      </c>
      <c r="CS20" s="225" t="e">
        <f t="array" ref="CS20">SUM(C20:I20*CN_PER)/SUM(C20:I20)</f>
        <v>#DIV/0!</v>
      </c>
      <c r="CT20" s="126" t="e">
        <f t="array" ref="CT20">SUM(AY20:BE20*CN_PER)/SUM(AY20:BE20)</f>
        <v>#DIV/0!</v>
      </c>
      <c r="CU20" s="225" t="e">
        <f t="array" ref="CU20">SUM(S20:Y20*CN_TCP)/SUM(S20:Y20)</f>
        <v>#DIV/0!</v>
      </c>
      <c r="CV20" s="126" t="e">
        <f t="array" ref="CV20">SUM(S20:Y20*CN_FOS)/SUM(S20:Y20)</f>
        <v>#DIV/0!</v>
      </c>
    </row>
    <row r="21" spans="1:100" ht="15.75" thickBot="1" x14ac:dyDescent="0.3">
      <c r="A21" s="154">
        <v>16</v>
      </c>
      <c r="B21" s="78"/>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c r="CC21" s="78"/>
      <c r="CD21" s="78"/>
      <c r="CE21" s="150">
        <f t="shared" si="3"/>
        <v>0</v>
      </c>
      <c r="CG21" s="125">
        <v>16</v>
      </c>
      <c r="CH21" s="13">
        <f>IF(SUM(C21:J21)=0,0,SUMPRODUCT(C21:I21,TheModel!$G$28:$M$28)/SUM(C21:I21))</f>
        <v>0</v>
      </c>
      <c r="CI21" s="13">
        <f>IF(SUM(K21:R21)=0,0,TheModel!$G$29)</f>
        <v>0</v>
      </c>
      <c r="CJ21" s="13">
        <f>IF(SUM(S21:Z21)=0,0,SUMPRODUCT(S21:Y21,TheModel!$G$30:$M$30)/SUM(S21:Y21))</f>
        <v>0</v>
      </c>
      <c r="CK21" s="151">
        <f>IF(SUM(AA21:AH21)=0,0,TheModel!$G$31)</f>
        <v>0</v>
      </c>
      <c r="CL21" s="151">
        <f>IF(SUM(AI21:AP21)=0,0,TheModel!$G$32)</f>
        <v>0</v>
      </c>
      <c r="CM21" s="13">
        <f>IF(SUM(AQ21:AX21)=0,0,SUMPRODUCT(AQ21:AW21,TheModel!$G$33:$M$33)/SUM(AQ21:AW21))</f>
        <v>0</v>
      </c>
      <c r="CN21" s="13">
        <f>IF(SUM(AY21:BF21)=0,0,SUMPRODUCT(AY21:BE21,TheModel!$G$34:$M$34)/SUM(AY21:BE21))</f>
        <v>0</v>
      </c>
      <c r="CO21" s="151">
        <f>IF(SUM(BG21:BN21)=0,0,TheModel!$J$35)</f>
        <v>0</v>
      </c>
      <c r="CP21" s="151">
        <f>IF(SUM(BO21:BV21)=0,0,TheModel!$J$35)</f>
        <v>0</v>
      </c>
      <c r="CQ21" s="151">
        <f>IF(SUM(BW21:CD21)=0,0,TheModel!$J$35)</f>
        <v>0</v>
      </c>
      <c r="CS21" s="225" t="e">
        <f t="array" ref="CS21">SUM(C21:I21*CN_PER)/SUM(C21:I21)</f>
        <v>#DIV/0!</v>
      </c>
      <c r="CT21" s="126" t="e">
        <f t="array" ref="CT21">SUM(AY21:BE21*CN_PER)/SUM(AY21:BE21)</f>
        <v>#DIV/0!</v>
      </c>
      <c r="CU21" s="225" t="e">
        <f t="array" ref="CU21">SUM(S21:Y21*CN_TCP)/SUM(S21:Y21)</f>
        <v>#DIV/0!</v>
      </c>
      <c r="CV21" s="126" t="e">
        <f t="array" ref="CV21">SUM(S21:Y21*CN_FOS)/SUM(S21:Y21)</f>
        <v>#DIV/0!</v>
      </c>
    </row>
    <row r="22" spans="1:100" ht="15.75" thickBot="1" x14ac:dyDescent="0.3">
      <c r="A22" s="154">
        <v>17</v>
      </c>
      <c r="B22" s="78"/>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c r="CC22" s="78"/>
      <c r="CD22" s="78"/>
      <c r="CE22" s="150">
        <f t="shared" si="3"/>
        <v>0</v>
      </c>
      <c r="CG22" s="125">
        <v>17</v>
      </c>
      <c r="CH22" s="13">
        <f>IF(SUM(C22:J22)=0,0,SUMPRODUCT(C22:I22,TheModel!$G$28:$M$28)/SUM(C22:I22))</f>
        <v>0</v>
      </c>
      <c r="CI22" s="13">
        <f>IF(SUM(K22:R22)=0,0,TheModel!$G$29)</f>
        <v>0</v>
      </c>
      <c r="CJ22" s="13">
        <f>IF(SUM(S22:Z22)=0,0,SUMPRODUCT(S22:Y22,TheModel!$G$30:$M$30)/SUM(S22:Y22))</f>
        <v>0</v>
      </c>
      <c r="CK22" s="151">
        <f>IF(SUM(AA22:AH22)=0,0,TheModel!$G$31)</f>
        <v>0</v>
      </c>
      <c r="CL22" s="151">
        <f>IF(SUM(AI22:AP22)=0,0,TheModel!$G$32)</f>
        <v>0</v>
      </c>
      <c r="CM22" s="13">
        <f>IF(SUM(AQ22:AX22)=0,0,SUMPRODUCT(AQ22:AW22,TheModel!$G$33:$M$33)/SUM(AQ22:AW22))</f>
        <v>0</v>
      </c>
      <c r="CN22" s="13">
        <f>IF(SUM(AY22:BF22)=0,0,SUMPRODUCT(AY22:BE22,TheModel!$G$34:$M$34)/SUM(AY22:BE22))</f>
        <v>0</v>
      </c>
      <c r="CO22" s="151">
        <f>IF(SUM(BG22:BN22)=0,0,TheModel!$J$35)</f>
        <v>0</v>
      </c>
      <c r="CP22" s="151">
        <f>IF(SUM(BO22:BV22)=0,0,TheModel!$J$35)</f>
        <v>0</v>
      </c>
      <c r="CQ22" s="151">
        <f>IF(SUM(BW22:CD22)=0,0,TheModel!$J$35)</f>
        <v>0</v>
      </c>
      <c r="CS22" s="225" t="e">
        <f t="array" ref="CS22">SUM(C22:I22*CN_PER)/SUM(C22:I22)</f>
        <v>#DIV/0!</v>
      </c>
      <c r="CT22" s="126" t="e">
        <f t="array" ref="CT22">SUM(AY22:BE22*CN_PER)/SUM(AY22:BE22)</f>
        <v>#DIV/0!</v>
      </c>
      <c r="CU22" s="225" t="e">
        <f t="array" ref="CU22">SUM(S22:Y22*CN_TCP)/SUM(S22:Y22)</f>
        <v>#DIV/0!</v>
      </c>
      <c r="CV22" s="126" t="e">
        <f t="array" ref="CV22">SUM(S22:Y22*CN_FOS)/SUM(S22:Y22)</f>
        <v>#DIV/0!</v>
      </c>
    </row>
    <row r="23" spans="1:100" ht="15.75" thickBot="1" x14ac:dyDescent="0.3">
      <c r="A23" s="154">
        <v>18</v>
      </c>
      <c r="B23" s="78"/>
      <c r="C23" s="152"/>
      <c r="D23" s="152"/>
      <c r="E23" s="152"/>
      <c r="F23" s="152"/>
      <c r="G23" s="152"/>
      <c r="H23" s="152"/>
      <c r="I23" s="152"/>
      <c r="J23" s="152"/>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150">
        <f t="shared" si="3"/>
        <v>0</v>
      </c>
      <c r="CG23" s="125">
        <v>18</v>
      </c>
      <c r="CH23" s="13">
        <f>IF(SUM(C23:J23)=0,0,SUMPRODUCT(C23:I23,TheModel!$G$28:$M$28)/SUM(C23:I23))</f>
        <v>0</v>
      </c>
      <c r="CI23" s="13">
        <f>IF(SUM(K23:R23)=0,0,TheModel!$G$29)</f>
        <v>0</v>
      </c>
      <c r="CJ23" s="13">
        <f>IF(SUM(S23:Z23)=0,0,SUMPRODUCT(S23:Y23,TheModel!$G$30:$M$30)/SUM(S23:Y23))</f>
        <v>0</v>
      </c>
      <c r="CK23" s="151">
        <f>IF(SUM(AA23:AH23)=0,0,TheModel!$G$31)</f>
        <v>0</v>
      </c>
      <c r="CL23" s="151">
        <f>IF(SUM(AI23:AP23)=0,0,TheModel!$G$32)</f>
        <v>0</v>
      </c>
      <c r="CM23" s="13">
        <f>IF(SUM(AQ23:AX23)=0,0,SUMPRODUCT(AQ23:AW23,TheModel!$G$33:$M$33)/SUM(AQ23:AW23))</f>
        <v>0</v>
      </c>
      <c r="CN23" s="13">
        <f>IF(SUM(AY23:BF23)=0,0,SUMPRODUCT(AY23:BE23,TheModel!$G$34:$M$34)/SUM(AY23:BE23))</f>
        <v>0</v>
      </c>
      <c r="CO23" s="151">
        <f>IF(SUM(BG23:BN23)=0,0,TheModel!$J$35)</f>
        <v>0</v>
      </c>
      <c r="CP23" s="151">
        <f>IF(SUM(BO23:BV23)=0,0,TheModel!$J$35)</f>
        <v>0</v>
      </c>
      <c r="CQ23" s="151">
        <f>IF(SUM(BW23:CD23)=0,0,TheModel!$J$35)</f>
        <v>0</v>
      </c>
      <c r="CS23" s="225" t="e">
        <f t="array" ref="CS23">SUM(C23:I23*CN_PER)/SUM(C23:I23)</f>
        <v>#DIV/0!</v>
      </c>
      <c r="CT23" s="126" t="e">
        <f t="array" ref="CT23">SUM(AY23:BE23*CN_PER)/SUM(AY23:BE23)</f>
        <v>#DIV/0!</v>
      </c>
      <c r="CU23" s="225" t="e">
        <f t="array" ref="CU23">SUM(S23:Y23*CN_TCP)/SUM(S23:Y23)</f>
        <v>#DIV/0!</v>
      </c>
      <c r="CV23" s="126" t="e">
        <f t="array" ref="CV23">SUM(S23:Y23*CN_FOS)/SUM(S23:Y23)</f>
        <v>#DIV/0!</v>
      </c>
    </row>
    <row r="24" spans="1:100" ht="15.75" thickBot="1" x14ac:dyDescent="0.3">
      <c r="A24" s="154">
        <v>19</v>
      </c>
      <c r="B24" s="78"/>
      <c r="C24" s="152"/>
      <c r="D24" s="152"/>
      <c r="E24" s="152"/>
      <c r="F24" s="152"/>
      <c r="G24" s="152"/>
      <c r="H24" s="152"/>
      <c r="I24" s="152"/>
      <c r="J24" s="152"/>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c r="CC24" s="78"/>
      <c r="CD24" s="78"/>
      <c r="CE24" s="150">
        <f t="shared" si="3"/>
        <v>0</v>
      </c>
      <c r="CG24" s="125">
        <v>19</v>
      </c>
      <c r="CH24" s="13">
        <f>IF(SUM(C24:J24)=0,0,SUMPRODUCT(C24:I24,TheModel!$G$28:$M$28)/SUM(C24:I24))</f>
        <v>0</v>
      </c>
      <c r="CI24" s="13">
        <f>IF(SUM(K24:R24)=0,0,TheModel!$G$29)</f>
        <v>0</v>
      </c>
      <c r="CJ24" s="13">
        <f>IF(SUM(S24:Z24)=0,0,SUMPRODUCT(S24:Y24,TheModel!$G$30:$M$30)/SUM(S24:Y24))</f>
        <v>0</v>
      </c>
      <c r="CK24" s="151">
        <f>IF(SUM(AA24:AH24)=0,0,TheModel!$G$31)</f>
        <v>0</v>
      </c>
      <c r="CL24" s="151">
        <f>IF(SUM(AI24:AP24)=0,0,TheModel!$G$32)</f>
        <v>0</v>
      </c>
      <c r="CM24" s="13">
        <f>IF(SUM(AQ24:AX24)=0,0,SUMPRODUCT(AQ24:AW24,TheModel!$G$33:$M$33)/SUM(AQ24:AW24))</f>
        <v>0</v>
      </c>
      <c r="CN24" s="13">
        <f>IF(SUM(AY24:BF24)=0,0,SUMPRODUCT(AY24:BE24,TheModel!$G$34:$M$34)/SUM(AY24:BE24))</f>
        <v>0</v>
      </c>
      <c r="CO24" s="151">
        <f>IF(SUM(BG24:BN24)=0,0,TheModel!$J$35)</f>
        <v>0</v>
      </c>
      <c r="CP24" s="151">
        <f>IF(SUM(BO24:BV24)=0,0,TheModel!$J$35)</f>
        <v>0</v>
      </c>
      <c r="CQ24" s="151">
        <f>IF(SUM(BW24:CD24)=0,0,TheModel!$J$35)</f>
        <v>0</v>
      </c>
      <c r="CS24" s="225" t="e">
        <f t="array" ref="CS24">SUM(C24:I24*CN_PER)/SUM(C24:I24)</f>
        <v>#DIV/0!</v>
      </c>
      <c r="CT24" s="126" t="e">
        <f t="array" ref="CT24">SUM(AY24:BE24*CN_PER)/SUM(AY24:BE24)</f>
        <v>#DIV/0!</v>
      </c>
      <c r="CU24" s="225" t="e">
        <f t="array" ref="CU24">SUM(S24:Y24*CN_TCP)/SUM(S24:Y24)</f>
        <v>#DIV/0!</v>
      </c>
      <c r="CV24" s="126" t="e">
        <f t="array" ref="CV24">SUM(S24:Y24*CN_FOS)/SUM(S24:Y24)</f>
        <v>#DIV/0!</v>
      </c>
    </row>
    <row r="25" spans="1:100" ht="15.75" thickBot="1" x14ac:dyDescent="0.3">
      <c r="A25" s="154">
        <v>20</v>
      </c>
      <c r="B25" s="94"/>
      <c r="C25" s="100"/>
      <c r="D25" s="78"/>
      <c r="E25" s="78"/>
      <c r="F25" s="78"/>
      <c r="G25" s="78"/>
      <c r="H25" s="78"/>
      <c r="I25" s="78"/>
      <c r="J25" s="78"/>
      <c r="K25" s="100"/>
      <c r="L25" s="78"/>
      <c r="M25" s="78"/>
      <c r="N25" s="78"/>
      <c r="O25" s="78"/>
      <c r="P25" s="78"/>
      <c r="Q25" s="78"/>
      <c r="R25" s="78"/>
      <c r="S25" s="118"/>
      <c r="T25" s="78"/>
      <c r="U25" s="78"/>
      <c r="V25" s="78"/>
      <c r="W25" s="78"/>
      <c r="X25" s="78"/>
      <c r="Y25" s="78"/>
      <c r="Z25" s="78"/>
      <c r="AA25" s="78"/>
      <c r="AB25" s="78"/>
      <c r="AC25" s="78"/>
      <c r="AD25" s="78"/>
      <c r="AE25" s="78"/>
      <c r="AF25" s="78"/>
      <c r="AG25" s="78"/>
      <c r="AH25" s="78"/>
      <c r="AI25" s="100"/>
      <c r="AJ25" s="100"/>
      <c r="AK25" s="100"/>
      <c r="AL25" s="100"/>
      <c r="AM25" s="100"/>
      <c r="AN25" s="100"/>
      <c r="AO25" s="100"/>
      <c r="AP25" s="100"/>
      <c r="AQ25" s="100"/>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c r="CC25" s="78"/>
      <c r="CD25" s="78"/>
      <c r="CE25" s="150">
        <f t="shared" si="3"/>
        <v>0</v>
      </c>
      <c r="CG25" s="125">
        <v>20</v>
      </c>
      <c r="CH25" s="13">
        <f>IF(SUM(C25:J25)=0,0,SUMPRODUCT(C25:I25,TheModel!$G$28:$M$28)/SUM(C25:I25))</f>
        <v>0</v>
      </c>
      <c r="CI25" s="13">
        <f>IF(SUM(K25:R25)=0,0,TheModel!$G$29)</f>
        <v>0</v>
      </c>
      <c r="CJ25" s="13">
        <f>IF(SUM(S25:Z25)=0,0,SUMPRODUCT(S25:Y25,TheModel!$G$30:$M$30)/SUM(S25:Y25))</f>
        <v>0</v>
      </c>
      <c r="CK25" s="151">
        <f>IF(SUM(AA25:AH25)=0,0,TheModel!$G$31)</f>
        <v>0</v>
      </c>
      <c r="CL25" s="151">
        <f>IF(SUM(AI25:AP25)=0,0,TheModel!$G$32)</f>
        <v>0</v>
      </c>
      <c r="CM25" s="13">
        <f>IF(SUM(AQ25:AX25)=0,0,SUMPRODUCT(AQ25:AW25,TheModel!$G$33:$M$33)/SUM(AQ25:AW25))</f>
        <v>0</v>
      </c>
      <c r="CN25" s="13">
        <f>IF(SUM(AY25:BF25)=0,0,SUMPRODUCT(AY25:BE25,TheModel!$G$34:$M$34)/SUM(AY25:BE25))</f>
        <v>0</v>
      </c>
      <c r="CO25" s="151">
        <f>IF(SUM(BG25:BN25)=0,0,TheModel!$J$35)</f>
        <v>0</v>
      </c>
      <c r="CP25" s="151">
        <f>IF(SUM(BO25:BV25)=0,0,TheModel!$J$35)</f>
        <v>0</v>
      </c>
      <c r="CQ25" s="151">
        <f>IF(SUM(BW25:CD25)=0,0,TheModel!$J$35)</f>
        <v>0</v>
      </c>
      <c r="CS25" s="225" t="e">
        <f t="array" ref="CS25">SUM(C25:I25*CN_PER)/SUM(C25:I25)</f>
        <v>#DIV/0!</v>
      </c>
      <c r="CT25" s="126" t="e">
        <f t="array" ref="CT25">SUM(AY25:BE25*CN_PER)/SUM(AY25:BE25)</f>
        <v>#DIV/0!</v>
      </c>
      <c r="CU25" s="225" t="e">
        <f t="array" ref="CU25">SUM(S25:Y25*CN_TCP)/SUM(S25:Y25)</f>
        <v>#DIV/0!</v>
      </c>
      <c r="CV25" s="126" t="e">
        <f t="array" ref="CV25">SUM(S25:Y25*CN_FOS)/SUM(S25:Y25)</f>
        <v>#DIV/0!</v>
      </c>
    </row>
    <row r="26" spans="1:100" ht="15.75" thickBot="1" x14ac:dyDescent="0.3">
      <c r="A26" s="154">
        <v>21</v>
      </c>
      <c r="B26" s="94"/>
      <c r="C26" s="100"/>
      <c r="D26" s="78"/>
      <c r="E26" s="78"/>
      <c r="F26" s="78"/>
      <c r="G26" s="78"/>
      <c r="H26" s="78"/>
      <c r="I26" s="78"/>
      <c r="J26" s="78"/>
      <c r="K26" s="100"/>
      <c r="L26" s="78"/>
      <c r="M26" s="78"/>
      <c r="N26" s="78"/>
      <c r="O26" s="78"/>
      <c r="P26" s="78"/>
      <c r="Q26" s="78"/>
      <c r="R26" s="78"/>
      <c r="S26" s="118"/>
      <c r="T26" s="78"/>
      <c r="U26" s="78"/>
      <c r="V26" s="78"/>
      <c r="W26" s="78"/>
      <c r="X26" s="78"/>
      <c r="Y26" s="78"/>
      <c r="Z26" s="78"/>
      <c r="AA26" s="78"/>
      <c r="AB26" s="78"/>
      <c r="AC26" s="78"/>
      <c r="AD26" s="78"/>
      <c r="AE26" s="78"/>
      <c r="AF26" s="78"/>
      <c r="AG26" s="78"/>
      <c r="AH26" s="78"/>
      <c r="AI26" s="100"/>
      <c r="AJ26" s="100"/>
      <c r="AK26" s="100"/>
      <c r="AL26" s="100"/>
      <c r="AM26" s="100"/>
      <c r="AN26" s="100"/>
      <c r="AO26" s="100"/>
      <c r="AP26" s="100"/>
      <c r="AQ26" s="100"/>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c r="CB26" s="78"/>
      <c r="CC26" s="78"/>
      <c r="CD26" s="78"/>
      <c r="CE26" s="150">
        <f t="shared" si="3"/>
        <v>0</v>
      </c>
      <c r="CG26" s="125">
        <v>21</v>
      </c>
      <c r="CH26" s="13">
        <f>IF(SUM(C26:J26)=0,0,SUMPRODUCT(C26:I26,TheModel!$G$28:$M$28)/SUM(C26:I26))</f>
        <v>0</v>
      </c>
      <c r="CI26" s="13">
        <f>IF(SUM(K26:R26)=0,0,TheModel!$G$29)</f>
        <v>0</v>
      </c>
      <c r="CJ26" s="13">
        <f>IF(SUM(S26:Z26)=0,0,SUMPRODUCT(S26:Y26,TheModel!$G$30:$M$30)/SUM(S26:Y26))</f>
        <v>0</v>
      </c>
      <c r="CK26" s="151">
        <f>IF(SUM(AA26:AH26)=0,0,TheModel!$G$31)</f>
        <v>0</v>
      </c>
      <c r="CL26" s="151">
        <f>IF(SUM(AI26:AP26)=0,0,TheModel!$G$32)</f>
        <v>0</v>
      </c>
      <c r="CM26" s="13">
        <f>IF(SUM(AQ26:AX26)=0,0,SUMPRODUCT(AQ26:AW26,TheModel!$G$33:$M$33)/SUM(AQ26:AW26))</f>
        <v>0</v>
      </c>
      <c r="CN26" s="13">
        <f>IF(SUM(AY26:BF26)=0,0,SUMPRODUCT(AY26:BE26,TheModel!$G$34:$M$34)/SUM(AY26:BE26))</f>
        <v>0</v>
      </c>
      <c r="CO26" s="151">
        <f>IF(SUM(BG26:BN26)=0,0,TheModel!$J$35)</f>
        <v>0</v>
      </c>
      <c r="CP26" s="151">
        <f>IF(SUM(BO26:BV26)=0,0,TheModel!$J$35)</f>
        <v>0</v>
      </c>
      <c r="CQ26" s="151">
        <f>IF(SUM(BW26:CD26)=0,0,TheModel!$J$35)</f>
        <v>0</v>
      </c>
      <c r="CS26" s="225" t="e">
        <f t="array" ref="CS26">SUM(C26:I26*CN_PER)/SUM(C26:I26)</f>
        <v>#DIV/0!</v>
      </c>
      <c r="CT26" s="126" t="e">
        <f t="array" ref="CT26">SUM(AY26:BE26*CN_PER)/SUM(AY26:BE26)</f>
        <v>#DIV/0!</v>
      </c>
      <c r="CU26" s="225" t="e">
        <f t="array" ref="CU26">SUM(S26:Y26*CN_TCP)/SUM(S26:Y26)</f>
        <v>#DIV/0!</v>
      </c>
      <c r="CV26" s="126" t="e">
        <f t="array" ref="CV26">SUM(S26:Y26*CN_FOS)/SUM(S26:Y26)</f>
        <v>#DIV/0!</v>
      </c>
    </row>
    <row r="27" spans="1:100" ht="15.75" thickBot="1" x14ac:dyDescent="0.3">
      <c r="A27" s="154">
        <v>22</v>
      </c>
      <c r="B27" s="94"/>
      <c r="C27" s="100"/>
      <c r="D27" s="78"/>
      <c r="E27" s="78"/>
      <c r="F27" s="78"/>
      <c r="G27" s="78"/>
      <c r="H27" s="78"/>
      <c r="I27" s="78"/>
      <c r="J27" s="78"/>
      <c r="K27" s="100"/>
      <c r="L27" s="78"/>
      <c r="M27" s="78"/>
      <c r="N27" s="78"/>
      <c r="O27" s="78"/>
      <c r="P27" s="78"/>
      <c r="Q27" s="78"/>
      <c r="R27" s="78"/>
      <c r="S27" s="118"/>
      <c r="T27" s="78"/>
      <c r="U27" s="78"/>
      <c r="V27" s="78"/>
      <c r="W27" s="78"/>
      <c r="X27" s="78"/>
      <c r="Y27" s="78"/>
      <c r="Z27" s="78"/>
      <c r="AA27" s="78"/>
      <c r="AB27" s="78"/>
      <c r="AC27" s="78"/>
      <c r="AD27" s="78"/>
      <c r="AE27" s="78"/>
      <c r="AF27" s="78"/>
      <c r="AG27" s="78"/>
      <c r="AH27" s="78"/>
      <c r="AI27" s="100"/>
      <c r="AJ27" s="100"/>
      <c r="AK27" s="100"/>
      <c r="AL27" s="100"/>
      <c r="AM27" s="100"/>
      <c r="AN27" s="100"/>
      <c r="AO27" s="100"/>
      <c r="AP27" s="100"/>
      <c r="AQ27" s="100"/>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150">
        <f t="shared" si="3"/>
        <v>0</v>
      </c>
      <c r="CG27" s="125">
        <v>22</v>
      </c>
      <c r="CH27" s="13">
        <f>IF(SUM(C27:J27)=0,0,SUMPRODUCT(C27:I27,TheModel!$G$28:$M$28)/SUM(C27:I27))</f>
        <v>0</v>
      </c>
      <c r="CI27" s="13">
        <f>IF(SUM(K27:R27)=0,0,TheModel!$G$29)</f>
        <v>0</v>
      </c>
      <c r="CJ27" s="13">
        <f>IF(SUM(S27:Z27)=0,0,SUMPRODUCT(S27:Y27,TheModel!$G$30:$M$30)/SUM(S27:Y27))</f>
        <v>0</v>
      </c>
      <c r="CK27" s="151">
        <f>IF(SUM(AA27:AH27)=0,0,TheModel!$G$31)</f>
        <v>0</v>
      </c>
      <c r="CL27" s="151">
        <f>IF(SUM(AI27:AP27)=0,0,TheModel!$G$32)</f>
        <v>0</v>
      </c>
      <c r="CM27" s="13">
        <f>IF(SUM(AQ27:AX27)=0,0,SUMPRODUCT(AQ27:AW27,TheModel!$G$33:$M$33)/SUM(AQ27:AW27))</f>
        <v>0</v>
      </c>
      <c r="CN27" s="13">
        <f>IF(SUM(AY27:BF27)=0,0,SUMPRODUCT(AY27:BE27,TheModel!$G$34:$M$34)/SUM(AY27:BE27))</f>
        <v>0</v>
      </c>
      <c r="CO27" s="151">
        <f>IF(SUM(BG27:BN27)=0,0,TheModel!$J$35)</f>
        <v>0</v>
      </c>
      <c r="CP27" s="151">
        <f>IF(SUM(BO27:BV27)=0,0,TheModel!$J$35)</f>
        <v>0</v>
      </c>
      <c r="CQ27" s="151">
        <f>IF(SUM(BW27:CD27)=0,0,TheModel!$J$35)</f>
        <v>0</v>
      </c>
      <c r="CS27" s="225" t="e">
        <f t="array" ref="CS27">SUM(C27:I27*CN_PER)/SUM(C27:I27)</f>
        <v>#DIV/0!</v>
      </c>
      <c r="CT27" s="126" t="e">
        <f t="array" ref="CT27">SUM(AY27:BE27*CN_PER)/SUM(AY27:BE27)</f>
        <v>#DIV/0!</v>
      </c>
      <c r="CU27" s="225" t="e">
        <f t="array" ref="CU27">SUM(S27:Y27*CN_TCP)/SUM(S27:Y27)</f>
        <v>#DIV/0!</v>
      </c>
      <c r="CV27" s="126" t="e">
        <f t="array" ref="CV27">SUM(S27:Y27*CN_FOS)/SUM(S27:Y27)</f>
        <v>#DIV/0!</v>
      </c>
    </row>
    <row r="28" spans="1:100" ht="15.75" thickBot="1" x14ac:dyDescent="0.3">
      <c r="A28" s="154">
        <v>23</v>
      </c>
      <c r="B28" s="94"/>
      <c r="C28" s="100"/>
      <c r="D28" s="78"/>
      <c r="E28" s="78"/>
      <c r="F28" s="78"/>
      <c r="G28" s="78"/>
      <c r="H28" s="78"/>
      <c r="I28" s="78"/>
      <c r="J28" s="78"/>
      <c r="K28" s="100"/>
      <c r="L28" s="78"/>
      <c r="M28" s="78"/>
      <c r="N28" s="78"/>
      <c r="O28" s="78"/>
      <c r="P28" s="78"/>
      <c r="Q28" s="78"/>
      <c r="R28" s="78"/>
      <c r="S28" s="118"/>
      <c r="T28" s="78"/>
      <c r="U28" s="78"/>
      <c r="V28" s="78"/>
      <c r="W28" s="78"/>
      <c r="X28" s="78"/>
      <c r="Y28" s="78"/>
      <c r="Z28" s="78"/>
      <c r="AA28" s="78"/>
      <c r="AB28" s="78"/>
      <c r="AC28" s="78"/>
      <c r="AD28" s="78"/>
      <c r="AE28" s="78"/>
      <c r="AF28" s="78"/>
      <c r="AG28" s="78"/>
      <c r="AH28" s="78"/>
      <c r="AI28" s="100"/>
      <c r="AJ28" s="100"/>
      <c r="AK28" s="100"/>
      <c r="AL28" s="100"/>
      <c r="AM28" s="100"/>
      <c r="AN28" s="100"/>
      <c r="AO28" s="100"/>
      <c r="AP28" s="100"/>
      <c r="AQ28" s="100"/>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c r="CB28" s="78"/>
      <c r="CC28" s="78"/>
      <c r="CD28" s="78"/>
      <c r="CE28" s="150">
        <f t="shared" si="3"/>
        <v>0</v>
      </c>
      <c r="CG28" s="125">
        <v>23</v>
      </c>
      <c r="CH28" s="13">
        <f>IF(SUM(C28:J28)=0,0,SUMPRODUCT(C28:I28,TheModel!$G$28:$M$28)/SUM(C28:I28))</f>
        <v>0</v>
      </c>
      <c r="CI28" s="13">
        <f>IF(SUM(K28:R28)=0,0,TheModel!$G$29)</f>
        <v>0</v>
      </c>
      <c r="CJ28" s="13">
        <f>IF(SUM(S28:Z28)=0,0,SUMPRODUCT(S28:Y28,TheModel!$G$30:$M$30)/SUM(S28:Y28))</f>
        <v>0</v>
      </c>
      <c r="CK28" s="151">
        <f>IF(SUM(AA28:AH28)=0,0,TheModel!$G$31)</f>
        <v>0</v>
      </c>
      <c r="CL28" s="151">
        <f>IF(SUM(AI28:AP28)=0,0,TheModel!$G$32)</f>
        <v>0</v>
      </c>
      <c r="CM28" s="13">
        <f>IF(SUM(AQ28:AX28)=0,0,SUMPRODUCT(AQ28:AW28,TheModel!$G$33:$M$33)/SUM(AQ28:AW28))</f>
        <v>0</v>
      </c>
      <c r="CN28" s="13">
        <f>IF(SUM(AY28:BF28)=0,0,SUMPRODUCT(AY28:BE28,TheModel!$G$34:$M$34)/SUM(AY28:BE28))</f>
        <v>0</v>
      </c>
      <c r="CO28" s="151">
        <f>IF(SUM(BG28:BN28)=0,0,TheModel!$J$35)</f>
        <v>0</v>
      </c>
      <c r="CP28" s="151">
        <f>IF(SUM(BO28:BV28)=0,0,TheModel!$J$35)</f>
        <v>0</v>
      </c>
      <c r="CQ28" s="151">
        <f>IF(SUM(BW28:CD28)=0,0,TheModel!$J$35)</f>
        <v>0</v>
      </c>
      <c r="CS28" s="225" t="e">
        <f t="array" ref="CS28">SUM(C28:I28*CN_PER)/SUM(C28:I28)</f>
        <v>#DIV/0!</v>
      </c>
      <c r="CT28" s="126" t="e">
        <f t="array" ref="CT28">SUM(AY28:BE28*CN_PER)/SUM(AY28:BE28)</f>
        <v>#DIV/0!</v>
      </c>
      <c r="CU28" s="225" t="e">
        <f t="array" ref="CU28">SUM(S28:Y28*CN_TCP)/SUM(S28:Y28)</f>
        <v>#DIV/0!</v>
      </c>
      <c r="CV28" s="126" t="e">
        <f t="array" ref="CV28">SUM(S28:Y28*CN_FOS)/SUM(S28:Y28)</f>
        <v>#DIV/0!</v>
      </c>
    </row>
    <row r="29" spans="1:100" ht="15.75" thickBot="1" x14ac:dyDescent="0.3">
      <c r="A29" s="154">
        <v>24</v>
      </c>
      <c r="B29" s="94"/>
      <c r="C29" s="100"/>
      <c r="D29" s="78"/>
      <c r="E29" s="78"/>
      <c r="F29" s="78"/>
      <c r="G29" s="78"/>
      <c r="H29" s="78"/>
      <c r="I29" s="78"/>
      <c r="J29" s="78"/>
      <c r="K29" s="100"/>
      <c r="L29" s="78"/>
      <c r="M29" s="78"/>
      <c r="N29" s="78"/>
      <c r="O29" s="78"/>
      <c r="P29" s="78"/>
      <c r="Q29" s="78"/>
      <c r="R29" s="78"/>
      <c r="S29" s="118"/>
      <c r="T29" s="78"/>
      <c r="U29" s="78"/>
      <c r="V29" s="78"/>
      <c r="W29" s="78"/>
      <c r="X29" s="78"/>
      <c r="Y29" s="78"/>
      <c r="Z29" s="78"/>
      <c r="AA29" s="78"/>
      <c r="AB29" s="78"/>
      <c r="AC29" s="78"/>
      <c r="AD29" s="78"/>
      <c r="AE29" s="78"/>
      <c r="AF29" s="78"/>
      <c r="AG29" s="78"/>
      <c r="AH29" s="78"/>
      <c r="AI29" s="100"/>
      <c r="AJ29" s="100"/>
      <c r="AK29" s="100"/>
      <c r="AL29" s="100"/>
      <c r="AM29" s="100"/>
      <c r="AN29" s="100"/>
      <c r="AO29" s="100"/>
      <c r="AP29" s="100"/>
      <c r="AQ29" s="100"/>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c r="CC29" s="78"/>
      <c r="CD29" s="78"/>
      <c r="CE29" s="150">
        <f t="shared" si="3"/>
        <v>0</v>
      </c>
      <c r="CG29" s="125">
        <v>24</v>
      </c>
      <c r="CH29" s="13">
        <f>IF(SUM(C29:J29)=0,0,SUMPRODUCT(C29:I29,TheModel!$G$28:$M$28)/SUM(C29:I29))</f>
        <v>0</v>
      </c>
      <c r="CI29" s="13">
        <f>IF(SUM(K29:R29)=0,0,TheModel!$G$29)</f>
        <v>0</v>
      </c>
      <c r="CJ29" s="13">
        <f>IF(SUM(S29:Z29)=0,0,SUMPRODUCT(S29:Y29,TheModel!$G$30:$M$30)/SUM(S29:Y29))</f>
        <v>0</v>
      </c>
      <c r="CK29" s="151">
        <f>IF(SUM(AA29:AH29)=0,0,TheModel!$G$31)</f>
        <v>0</v>
      </c>
      <c r="CL29" s="151">
        <f>IF(SUM(AI29:AP29)=0,0,TheModel!$G$32)</f>
        <v>0</v>
      </c>
      <c r="CM29" s="13">
        <f>IF(SUM(AQ29:AX29)=0,0,SUMPRODUCT(AQ29:AW29,TheModel!$G$33:$M$33)/SUM(AQ29:AW29))</f>
        <v>0</v>
      </c>
      <c r="CN29" s="13">
        <f>IF(SUM(AY29:BF29)=0,0,SUMPRODUCT(AY29:BE29,TheModel!$G$34:$M$34)/SUM(AY29:BE29))</f>
        <v>0</v>
      </c>
      <c r="CO29" s="151">
        <f>IF(SUM(BG29:BN29)=0,0,TheModel!$J$35)</f>
        <v>0</v>
      </c>
      <c r="CP29" s="151">
        <f>IF(SUM(BO29:BV29)=0,0,TheModel!$J$35)</f>
        <v>0</v>
      </c>
      <c r="CQ29" s="151">
        <f>IF(SUM(BW29:CD29)=0,0,TheModel!$J$35)</f>
        <v>0</v>
      </c>
      <c r="CS29" s="225" t="e">
        <f t="array" ref="CS29">SUM(C29:I29*CN_PER)/SUM(C29:I29)</f>
        <v>#DIV/0!</v>
      </c>
      <c r="CT29" s="126" t="e">
        <f t="array" ref="CT29">SUM(AY29:BE29*CN_PER)/SUM(AY29:BE29)</f>
        <v>#DIV/0!</v>
      </c>
      <c r="CU29" s="225" t="e">
        <f t="array" ref="CU29">SUM(S29:Y29*CN_TCP)/SUM(S29:Y29)</f>
        <v>#DIV/0!</v>
      </c>
      <c r="CV29" s="126" t="e">
        <f t="array" ref="CV29">SUM(S29:Y29*CN_FOS)/SUM(S29:Y29)</f>
        <v>#DIV/0!</v>
      </c>
    </row>
    <row r="30" spans="1:100" ht="15.75" thickBot="1" x14ac:dyDescent="0.3">
      <c r="A30" s="154">
        <v>25</v>
      </c>
      <c r="B30" s="94"/>
      <c r="C30" s="100"/>
      <c r="D30" s="78"/>
      <c r="E30" s="78"/>
      <c r="F30" s="78"/>
      <c r="G30" s="78"/>
      <c r="H30" s="78"/>
      <c r="I30" s="78"/>
      <c r="J30" s="78"/>
      <c r="K30" s="100"/>
      <c r="L30" s="78"/>
      <c r="M30" s="78"/>
      <c r="N30" s="78"/>
      <c r="O30" s="78"/>
      <c r="P30" s="78"/>
      <c r="Q30" s="78"/>
      <c r="R30" s="78"/>
      <c r="S30" s="118"/>
      <c r="T30" s="78"/>
      <c r="U30" s="78"/>
      <c r="V30" s="78"/>
      <c r="W30" s="78"/>
      <c r="X30" s="78"/>
      <c r="Y30" s="78"/>
      <c r="Z30" s="78"/>
      <c r="AA30" s="78"/>
      <c r="AB30" s="78"/>
      <c r="AC30" s="78"/>
      <c r="AD30" s="78"/>
      <c r="AE30" s="78"/>
      <c r="AF30" s="78"/>
      <c r="AG30" s="78"/>
      <c r="AH30" s="78"/>
      <c r="AI30" s="100"/>
      <c r="AJ30" s="100"/>
      <c r="AK30" s="100"/>
      <c r="AL30" s="100"/>
      <c r="AM30" s="100"/>
      <c r="AN30" s="100"/>
      <c r="AO30" s="100"/>
      <c r="AP30" s="100"/>
      <c r="AQ30" s="100"/>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c r="CC30" s="78"/>
      <c r="CD30" s="78"/>
      <c r="CE30" s="150">
        <f t="shared" si="3"/>
        <v>0</v>
      </c>
      <c r="CG30" s="125">
        <v>25</v>
      </c>
      <c r="CH30" s="13">
        <f>IF(SUM(C30:J30)=0,0,SUMPRODUCT(C30:I30,TheModel!$G$28:$M$28)/SUM(C30:I30))</f>
        <v>0</v>
      </c>
      <c r="CI30" s="13">
        <f>IF(SUM(K30:R30)=0,0,TheModel!$G$29)</f>
        <v>0</v>
      </c>
      <c r="CJ30" s="13">
        <f>IF(SUM(S30:Z30)=0,0,SUMPRODUCT(S30:Y30,TheModel!$G$30:$M$30)/SUM(S30:Y30))</f>
        <v>0</v>
      </c>
      <c r="CK30" s="151">
        <f>IF(SUM(AA30:AH30)=0,0,TheModel!$G$31)</f>
        <v>0</v>
      </c>
      <c r="CL30" s="151">
        <f>IF(SUM(AI30:AP30)=0,0,TheModel!$G$32)</f>
        <v>0</v>
      </c>
      <c r="CM30" s="13">
        <f>IF(SUM(AQ30:AX30)=0,0,SUMPRODUCT(AQ30:AW30,TheModel!$G$33:$M$33)/SUM(AQ30:AW30))</f>
        <v>0</v>
      </c>
      <c r="CN30" s="13">
        <f>IF(SUM(AY30:BF30)=0,0,SUMPRODUCT(AY30:BE30,TheModel!$G$34:$M$34)/SUM(AY30:BE30))</f>
        <v>0</v>
      </c>
      <c r="CO30" s="151">
        <f>IF(SUM(BG30:BN30)=0,0,TheModel!$J$35)</f>
        <v>0</v>
      </c>
      <c r="CP30" s="151">
        <f>IF(SUM(BO30:BV30)=0,0,TheModel!$J$35)</f>
        <v>0</v>
      </c>
      <c r="CQ30" s="151">
        <f>IF(SUM(BW30:CD30)=0,0,TheModel!$J$35)</f>
        <v>0</v>
      </c>
      <c r="CS30" s="225" t="e">
        <f t="array" ref="CS30">SUM(C30:I30*CN_PER)/SUM(C30:I30)</f>
        <v>#DIV/0!</v>
      </c>
      <c r="CT30" s="126" t="e">
        <f t="array" ref="CT30">SUM(AY30:BE30*CN_PER)/SUM(AY30:BE30)</f>
        <v>#DIV/0!</v>
      </c>
      <c r="CU30" s="225" t="e">
        <f t="array" ref="CU30">SUM(S30:Y30*CN_TCP)/SUM(S30:Y30)</f>
        <v>#DIV/0!</v>
      </c>
      <c r="CV30" s="126" t="e">
        <f t="array" ref="CV30">SUM(S30:Y30*CN_FOS)/SUM(S30:Y30)</f>
        <v>#DIV/0!</v>
      </c>
    </row>
    <row r="31" spans="1:100" ht="15.75" thickBot="1" x14ac:dyDescent="0.3">
      <c r="A31" s="154">
        <v>26</v>
      </c>
      <c r="B31" s="78"/>
      <c r="C31" s="78"/>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100"/>
      <c r="AJ31" s="100"/>
      <c r="AK31" s="100"/>
      <c r="AL31" s="100"/>
      <c r="AM31" s="100"/>
      <c r="AN31" s="100"/>
      <c r="AO31" s="100"/>
      <c r="AP31" s="100"/>
      <c r="AQ31" s="100"/>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c r="CC31" s="78"/>
      <c r="CD31" s="78"/>
      <c r="CE31" s="150">
        <f t="shared" si="3"/>
        <v>0</v>
      </c>
      <c r="CG31" s="125">
        <v>26</v>
      </c>
      <c r="CH31" s="13">
        <f>IF(SUM(C31:J31)=0,0,SUMPRODUCT(C31:I31,TheModel!$G$28:$M$28)/SUM(C31:I31))</f>
        <v>0</v>
      </c>
      <c r="CI31" s="13">
        <f>IF(SUM(K31:R31)=0,0,TheModel!$G$29)</f>
        <v>0</v>
      </c>
      <c r="CJ31" s="13">
        <f>IF(SUM(S31:Z31)=0,0,SUMPRODUCT(S31:Y31,TheModel!$G$30:$M$30)/SUM(S31:Y31))</f>
        <v>0</v>
      </c>
      <c r="CK31" s="151">
        <f>IF(SUM(AA31:AH31)=0,0,TheModel!$G$31)</f>
        <v>0</v>
      </c>
      <c r="CL31" s="151">
        <f>IF(SUM(AI31:AP31)=0,0,TheModel!$G$32)</f>
        <v>0</v>
      </c>
      <c r="CM31" s="13">
        <f>IF(SUM(AQ31:AX31)=0,0,SUMPRODUCT(AQ31:AW31,TheModel!$G$33:$M$33)/SUM(AQ31:AW31))</f>
        <v>0</v>
      </c>
      <c r="CN31" s="13">
        <f>IF(SUM(AY31:BF31)=0,0,SUMPRODUCT(AY31:BE31,TheModel!$G$34:$M$34)/SUM(AY31:BE31))</f>
        <v>0</v>
      </c>
      <c r="CO31" s="151">
        <f>IF(SUM(BG31:BN31)=0,0,TheModel!$J$35)</f>
        <v>0</v>
      </c>
      <c r="CP31" s="151">
        <f>IF(SUM(BO31:BV31)=0,0,TheModel!$J$35)</f>
        <v>0</v>
      </c>
      <c r="CQ31" s="151">
        <f>IF(SUM(BW31:CD31)=0,0,TheModel!$J$35)</f>
        <v>0</v>
      </c>
      <c r="CS31" s="225" t="e">
        <f t="array" ref="CS31">SUM(C31:I31*CN_PER)/SUM(C31:I31)</f>
        <v>#DIV/0!</v>
      </c>
      <c r="CT31" s="126" t="e">
        <f t="array" ref="CT31">SUM(AY31:BE31*CN_PER)/SUM(AY31:BE31)</f>
        <v>#DIV/0!</v>
      </c>
      <c r="CU31" s="225" t="e">
        <f t="array" ref="CU31">SUM(S31:Y31*CN_TCP)/SUM(S31:Y31)</f>
        <v>#DIV/0!</v>
      </c>
      <c r="CV31" s="126" t="e">
        <f t="array" ref="CV31">SUM(S31:Y31*CN_FOS)/SUM(S31:Y31)</f>
        <v>#DIV/0!</v>
      </c>
    </row>
    <row r="32" spans="1:100" ht="15.75" thickBot="1" x14ac:dyDescent="0.3">
      <c r="A32" s="154">
        <v>27</v>
      </c>
      <c r="B32" s="78"/>
      <c r="C32" s="78"/>
      <c r="D32" s="78"/>
      <c r="E32" s="78"/>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c r="CA32" s="78"/>
      <c r="CB32" s="78"/>
      <c r="CC32" s="78"/>
      <c r="CD32" s="78"/>
      <c r="CE32" s="150">
        <f t="shared" si="3"/>
        <v>0</v>
      </c>
      <c r="CG32" s="125">
        <v>27</v>
      </c>
      <c r="CH32" s="13">
        <f>IF(SUM(C32:J32)=0,0,SUMPRODUCT(C32:I32,TheModel!$G$28:$M$28)/SUM(C32:I32))</f>
        <v>0</v>
      </c>
      <c r="CI32" s="13">
        <f>IF(SUM(K32:R32)=0,0,TheModel!$G$29)</f>
        <v>0</v>
      </c>
      <c r="CJ32" s="13">
        <f>IF(SUM(S32:Z32)=0,0,SUMPRODUCT(S32:Y32,TheModel!$G$30:$M$30)/SUM(S32:Y32))</f>
        <v>0</v>
      </c>
      <c r="CK32" s="151">
        <f>IF(SUM(AA32:AH32)=0,0,TheModel!$G$31)</f>
        <v>0</v>
      </c>
      <c r="CL32" s="151">
        <f>IF(SUM(AI32:AP32)=0,0,TheModel!$G$32)</f>
        <v>0</v>
      </c>
      <c r="CM32" s="13">
        <f>IF(SUM(AQ32:AX32)=0,0,SUMPRODUCT(AQ32:AW32,TheModel!$G$33:$M$33)/SUM(AQ32:AW32))</f>
        <v>0</v>
      </c>
      <c r="CN32" s="13">
        <f>IF(SUM(AY32:BF32)=0,0,SUMPRODUCT(AY32:BE32,TheModel!$G$34:$M$34)/SUM(AY32:BE32))</f>
        <v>0</v>
      </c>
      <c r="CO32" s="151">
        <f>IF(SUM(BG32:BN32)=0,0,TheModel!$J$35)</f>
        <v>0</v>
      </c>
      <c r="CP32" s="151">
        <f>IF(SUM(BO32:BV32)=0,0,TheModel!$J$35)</f>
        <v>0</v>
      </c>
      <c r="CQ32" s="151">
        <f>IF(SUM(BW32:CD32)=0,0,TheModel!$J$35)</f>
        <v>0</v>
      </c>
      <c r="CS32" s="225" t="e">
        <f t="array" ref="CS32">SUM(C32:I32*CN_PER)/SUM(C32:I32)</f>
        <v>#DIV/0!</v>
      </c>
      <c r="CT32" s="126" t="e">
        <f t="array" ref="CT32">SUM(AY32:BE32*CN_PER)/SUM(AY32:BE32)</f>
        <v>#DIV/0!</v>
      </c>
      <c r="CU32" s="225" t="e">
        <f t="array" ref="CU32">SUM(S32:Y32*CN_TCP)/SUM(S32:Y32)</f>
        <v>#DIV/0!</v>
      </c>
      <c r="CV32" s="126" t="e">
        <f t="array" ref="CV32">SUM(S32:Y32*CN_FOS)/SUM(S32:Y32)</f>
        <v>#DIV/0!</v>
      </c>
    </row>
    <row r="33" spans="1:100" ht="15.75" thickBot="1" x14ac:dyDescent="0.3">
      <c r="A33" s="154">
        <v>28</v>
      </c>
      <c r="B33" s="78"/>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c r="CB33" s="78"/>
      <c r="CC33" s="78"/>
      <c r="CD33" s="78"/>
      <c r="CE33" s="150">
        <f t="shared" si="3"/>
        <v>0</v>
      </c>
      <c r="CG33" s="125">
        <v>28</v>
      </c>
      <c r="CH33" s="13">
        <f>IF(SUM(C33:J33)=0,0,SUMPRODUCT(C33:I33,TheModel!$G$28:$M$28)/SUM(C33:I33))</f>
        <v>0</v>
      </c>
      <c r="CI33" s="13">
        <f>IF(SUM(K33:R33)=0,0,TheModel!$G$29)</f>
        <v>0</v>
      </c>
      <c r="CJ33" s="13">
        <f>IF(SUM(S33:Z33)=0,0,SUMPRODUCT(S33:Y33,TheModel!$G$30:$M$30)/SUM(S33:Y33))</f>
        <v>0</v>
      </c>
      <c r="CK33" s="151">
        <f>IF(SUM(AA33:AH33)=0,0,TheModel!$G$31)</f>
        <v>0</v>
      </c>
      <c r="CL33" s="151">
        <f>IF(SUM(AI33:AP33)=0,0,TheModel!$G$32)</f>
        <v>0</v>
      </c>
      <c r="CM33" s="13">
        <f>IF(SUM(AQ33:AX33)=0,0,SUMPRODUCT(AQ33:AW33,TheModel!$G$33:$M$33)/SUM(AQ33:AW33))</f>
        <v>0</v>
      </c>
      <c r="CN33" s="13">
        <f>IF(SUM(AY33:BF33)=0,0,SUMPRODUCT(AY33:BE33,TheModel!$G$34:$M$34)/SUM(AY33:BE33))</f>
        <v>0</v>
      </c>
      <c r="CO33" s="151">
        <f>IF(SUM(BG33:BN33)=0,0,TheModel!$J$35)</f>
        <v>0</v>
      </c>
      <c r="CP33" s="151">
        <f>IF(SUM(BO33:BV33)=0,0,TheModel!$J$35)</f>
        <v>0</v>
      </c>
      <c r="CQ33" s="151">
        <f>IF(SUM(BW33:CD33)=0,0,TheModel!$J$35)</f>
        <v>0</v>
      </c>
      <c r="CS33" s="225" t="e">
        <f t="array" ref="CS33">SUM(C33:I33*CN_PER)/SUM(C33:I33)</f>
        <v>#DIV/0!</v>
      </c>
      <c r="CT33" s="126" t="e">
        <f t="array" ref="CT33">SUM(AY33:BE33*CN_PER)/SUM(AY33:BE33)</f>
        <v>#DIV/0!</v>
      </c>
      <c r="CU33" s="225" t="e">
        <f t="array" ref="CU33">SUM(S33:Y33*CN_TCP)/SUM(S33:Y33)</f>
        <v>#DIV/0!</v>
      </c>
      <c r="CV33" s="126" t="e">
        <f t="array" ref="CV33">SUM(S33:Y33*CN_FOS)/SUM(S33:Y33)</f>
        <v>#DIV/0!</v>
      </c>
    </row>
    <row r="34" spans="1:100" ht="15.75" thickBot="1" x14ac:dyDescent="0.3">
      <c r="A34" s="154">
        <v>29</v>
      </c>
      <c r="B34" s="78"/>
      <c r="C34" s="78"/>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c r="CB34" s="78"/>
      <c r="CC34" s="78"/>
      <c r="CD34" s="78"/>
      <c r="CE34" s="150">
        <f t="shared" si="3"/>
        <v>0</v>
      </c>
      <c r="CG34" s="125">
        <v>29</v>
      </c>
      <c r="CH34" s="13">
        <f>IF(SUM(C34:J34)=0,0,SUMPRODUCT(C34:I34,TheModel!$G$28:$M$28)/SUM(C34:I34))</f>
        <v>0</v>
      </c>
      <c r="CI34" s="13">
        <f>IF(SUM(K34:R34)=0,0,TheModel!$G$29)</f>
        <v>0</v>
      </c>
      <c r="CJ34" s="13">
        <f>IF(SUM(S34:Z34)=0,0,SUMPRODUCT(S34:Y34,TheModel!$G$30:$M$30)/SUM(S34:Y34))</f>
        <v>0</v>
      </c>
      <c r="CK34" s="151">
        <f>IF(SUM(AA34:AH34)=0,0,TheModel!$G$31)</f>
        <v>0</v>
      </c>
      <c r="CL34" s="151">
        <f>IF(SUM(AI34:AP34)=0,0,TheModel!$G$32)</f>
        <v>0</v>
      </c>
      <c r="CM34" s="13">
        <f>IF(SUM(AQ34:AX34)=0,0,SUMPRODUCT(AQ34:AW34,TheModel!$G$33:$M$33)/SUM(AQ34:AW34))</f>
        <v>0</v>
      </c>
      <c r="CN34" s="13">
        <f>IF(SUM(AY34:BF34)=0,0,SUMPRODUCT(AY34:BE34,TheModel!$G$34:$M$34)/SUM(AY34:BE34))</f>
        <v>0</v>
      </c>
      <c r="CO34" s="151">
        <f>IF(SUM(BG34:BN34)=0,0,TheModel!$J$35)</f>
        <v>0</v>
      </c>
      <c r="CP34" s="151">
        <f>IF(SUM(BO34:BV34)=0,0,TheModel!$J$35)</f>
        <v>0</v>
      </c>
      <c r="CQ34" s="151">
        <f>IF(SUM(BW34:CD34)=0,0,TheModel!$J$35)</f>
        <v>0</v>
      </c>
      <c r="CS34" s="225" t="e">
        <f t="array" ref="CS34">SUM(C34:I34*CN_PER)/SUM(C34:I34)</f>
        <v>#DIV/0!</v>
      </c>
      <c r="CT34" s="126" t="e">
        <f t="array" ref="CT34">SUM(AY34:BE34*CN_PER)/SUM(AY34:BE34)</f>
        <v>#DIV/0!</v>
      </c>
      <c r="CU34" s="225" t="e">
        <f t="array" ref="CU34">SUM(S34:Y34*CN_TCP)/SUM(S34:Y34)</f>
        <v>#DIV/0!</v>
      </c>
      <c r="CV34" s="126" t="e">
        <f t="array" ref="CV34">SUM(S34:Y34*CN_FOS)/SUM(S34:Y34)</f>
        <v>#DIV/0!</v>
      </c>
    </row>
    <row r="35" spans="1:100" ht="15.75" thickBot="1" x14ac:dyDescent="0.3">
      <c r="A35" s="154">
        <v>30</v>
      </c>
      <c r="B35" s="78"/>
      <c r="C35" s="78"/>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150">
        <f t="shared" si="3"/>
        <v>0</v>
      </c>
      <c r="CG35" s="125">
        <v>30</v>
      </c>
      <c r="CH35" s="13">
        <f>IF(SUM(C35:J35)=0,0,SUMPRODUCT(C35:I35,TheModel!$G$28:$M$28)/SUM(C35:I35))</f>
        <v>0</v>
      </c>
      <c r="CI35" s="13">
        <f>IF(SUM(K35:R35)=0,0,TheModel!$G$29)</f>
        <v>0</v>
      </c>
      <c r="CJ35" s="13">
        <f>IF(SUM(S35:Z35)=0,0,SUMPRODUCT(S35:Y35,TheModel!$G$30:$M$30)/SUM(S35:Y35))</f>
        <v>0</v>
      </c>
      <c r="CK35" s="151">
        <f>IF(SUM(AA35:AH35)=0,0,TheModel!$G$31)</f>
        <v>0</v>
      </c>
      <c r="CL35" s="151">
        <f>IF(SUM(AI35:AP35)=0,0,TheModel!$G$32)</f>
        <v>0</v>
      </c>
      <c r="CM35" s="13">
        <f>IF(SUM(AQ35:AX35)=0,0,SUMPRODUCT(AQ35:AW35,TheModel!$G$33:$M$33)/SUM(AQ35:AW35))</f>
        <v>0</v>
      </c>
      <c r="CN35" s="13">
        <f>IF(SUM(AY35:BF35)=0,0,SUMPRODUCT(AY35:BE35,TheModel!$G$34:$M$34)/SUM(AY35:BE35))</f>
        <v>0</v>
      </c>
      <c r="CO35" s="151">
        <f>IF(SUM(BG35:BN35)=0,0,TheModel!$J$35)</f>
        <v>0</v>
      </c>
      <c r="CP35" s="151">
        <f>IF(SUM(BO35:BV35)=0,0,TheModel!$J$35)</f>
        <v>0</v>
      </c>
      <c r="CQ35" s="151">
        <f>IF(SUM(BW35:CD35)=0,0,TheModel!$J$35)</f>
        <v>0</v>
      </c>
      <c r="CS35" s="225" t="e">
        <f t="array" ref="CS35">SUM(C35:I35*CN_PER)/SUM(C35:I35)</f>
        <v>#DIV/0!</v>
      </c>
      <c r="CT35" s="126" t="e">
        <f t="array" ref="CT35">SUM(AY35:BE35*CN_PER)/SUM(AY35:BE35)</f>
        <v>#DIV/0!</v>
      </c>
      <c r="CU35" s="225" t="e">
        <f t="array" ref="CU35">SUM(S35:Y35*CN_TCP)/SUM(S35:Y35)</f>
        <v>#DIV/0!</v>
      </c>
      <c r="CV35" s="126" t="e">
        <f t="array" ref="CV35">SUM(S35:Y35*CN_FOS)/SUM(S35:Y35)</f>
        <v>#DIV/0!</v>
      </c>
    </row>
    <row r="36" spans="1:100" ht="15.75" thickBot="1" x14ac:dyDescent="0.3">
      <c r="A36" s="154">
        <v>31</v>
      </c>
      <c r="B36" s="78"/>
      <c r="C36" s="78"/>
      <c r="D36" s="78"/>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150">
        <f t="shared" si="3"/>
        <v>0</v>
      </c>
      <c r="CG36" s="125">
        <v>31</v>
      </c>
      <c r="CH36" s="13">
        <f>IF(SUM(C36:J36)=0,0,SUMPRODUCT(C36:I36,TheModel!$G$28:$M$28)/SUM(C36:I36))</f>
        <v>0</v>
      </c>
      <c r="CI36" s="13">
        <f>IF(SUM(K36:R36)=0,0,TheModel!$G$29)</f>
        <v>0</v>
      </c>
      <c r="CJ36" s="13">
        <f>IF(SUM(S36:Z36)=0,0,SUMPRODUCT(S36:Y36,TheModel!$G$30:$M$30)/SUM(S36:Y36))</f>
        <v>0</v>
      </c>
      <c r="CK36" s="151">
        <f>IF(SUM(AA36:AH36)=0,0,TheModel!$G$31)</f>
        <v>0</v>
      </c>
      <c r="CL36" s="151">
        <f>IF(SUM(AI36:AP36)=0,0,TheModel!$G$32)</f>
        <v>0</v>
      </c>
      <c r="CM36" s="13">
        <f>IF(SUM(AQ36:AX36)=0,0,SUMPRODUCT(AQ36:AW36,TheModel!$G$33:$M$33)/SUM(AQ36:AW36))</f>
        <v>0</v>
      </c>
      <c r="CN36" s="13">
        <f>IF(SUM(AY36:BF36)=0,0,SUMPRODUCT(AY36:BE36,TheModel!$G$34:$M$34)/SUM(AY36:BE36))</f>
        <v>0</v>
      </c>
      <c r="CO36" s="151">
        <f>IF(SUM(BG36:BN36)=0,0,TheModel!$J$35)</f>
        <v>0</v>
      </c>
      <c r="CP36" s="151">
        <f>IF(SUM(BO36:BV36)=0,0,TheModel!$J$35)</f>
        <v>0</v>
      </c>
      <c r="CQ36" s="151">
        <f>IF(SUM(BW36:CD36)=0,0,TheModel!$J$35)</f>
        <v>0</v>
      </c>
      <c r="CS36" s="225" t="e">
        <f t="array" ref="CS36">SUM(C36:I36*CN_PER)/SUM(C36:I36)</f>
        <v>#DIV/0!</v>
      </c>
      <c r="CT36" s="126" t="e">
        <f t="array" ref="CT36">SUM(AY36:BE36*CN_PER)/SUM(AY36:BE36)</f>
        <v>#DIV/0!</v>
      </c>
      <c r="CU36" s="225" t="e">
        <f t="array" ref="CU36">SUM(S36:Y36*CN_TCP)/SUM(S36:Y36)</f>
        <v>#DIV/0!</v>
      </c>
      <c r="CV36" s="126" t="e">
        <f t="array" ref="CV36">SUM(S36:Y36*CN_FOS)/SUM(S36:Y36)</f>
        <v>#DIV/0!</v>
      </c>
    </row>
    <row r="37" spans="1:100" ht="15.75" thickBot="1" x14ac:dyDescent="0.3">
      <c r="A37" s="154">
        <v>32</v>
      </c>
      <c r="B37" s="78"/>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8"/>
      <c r="CC37" s="78"/>
      <c r="CD37" s="78"/>
      <c r="CE37" s="150">
        <f t="shared" si="3"/>
        <v>0</v>
      </c>
      <c r="CG37" s="125">
        <v>32</v>
      </c>
      <c r="CH37" s="13">
        <f>IF(SUM(C37:J37)=0,0,SUMPRODUCT(C37:I37,TheModel!$G$28:$M$28)/SUM(C37:I37))</f>
        <v>0</v>
      </c>
      <c r="CI37" s="13">
        <f>IF(SUM(K37:R37)=0,0,TheModel!$G$29)</f>
        <v>0</v>
      </c>
      <c r="CJ37" s="13">
        <f>IF(SUM(S37:Z37)=0,0,SUMPRODUCT(S37:Y37,TheModel!$G$30:$M$30)/SUM(S37:Y37))</f>
        <v>0</v>
      </c>
      <c r="CK37" s="151">
        <f>IF(SUM(AA37:AH37)=0,0,TheModel!$G$31)</f>
        <v>0</v>
      </c>
      <c r="CL37" s="151">
        <f>IF(SUM(AI37:AP37)=0,0,TheModel!$G$32)</f>
        <v>0</v>
      </c>
      <c r="CM37" s="13">
        <f>IF(SUM(AQ37:AX37)=0,0,SUMPRODUCT(AQ37:AW37,TheModel!$G$33:$M$33)/SUM(AQ37:AW37))</f>
        <v>0</v>
      </c>
      <c r="CN37" s="13">
        <f>IF(SUM(AY37:BF37)=0,0,SUMPRODUCT(AY37:BE37,TheModel!$G$34:$M$34)/SUM(AY37:BE37))</f>
        <v>0</v>
      </c>
      <c r="CO37" s="151">
        <f>IF(SUM(BG37:BN37)=0,0,TheModel!$J$35)</f>
        <v>0</v>
      </c>
      <c r="CP37" s="151">
        <f>IF(SUM(BO37:BV37)=0,0,TheModel!$J$35)</f>
        <v>0</v>
      </c>
      <c r="CQ37" s="151">
        <f>IF(SUM(BW37:CD37)=0,0,TheModel!$J$35)</f>
        <v>0</v>
      </c>
      <c r="CS37" s="225" t="e">
        <f t="array" ref="CS37">SUM(C37:I37*CN_PER)/SUM(C37:I37)</f>
        <v>#DIV/0!</v>
      </c>
      <c r="CT37" s="126" t="e">
        <f t="array" ref="CT37">SUM(AY37:BE37*CN_PER)/SUM(AY37:BE37)</f>
        <v>#DIV/0!</v>
      </c>
      <c r="CU37" s="225" t="e">
        <f t="array" ref="CU37">SUM(S37:Y37*CN_TCP)/SUM(S37:Y37)</f>
        <v>#DIV/0!</v>
      </c>
      <c r="CV37" s="126" t="e">
        <f t="array" ref="CV37">SUM(S37:Y37*CN_FOS)/SUM(S37:Y37)</f>
        <v>#DIV/0!</v>
      </c>
    </row>
    <row r="38" spans="1:100" ht="15.75" thickBot="1" x14ac:dyDescent="0.3">
      <c r="A38" s="154">
        <v>33</v>
      </c>
      <c r="B38" s="78"/>
      <c r="C38" s="78"/>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c r="CC38" s="78"/>
      <c r="CD38" s="78"/>
      <c r="CE38" s="150">
        <f t="shared" si="3"/>
        <v>0</v>
      </c>
      <c r="CG38" s="125">
        <v>33</v>
      </c>
      <c r="CH38" s="13">
        <f>IF(SUM(C38:J38)=0,0,SUMPRODUCT(C38:I38,TheModel!$G$28:$M$28)/SUM(C38:I38))</f>
        <v>0</v>
      </c>
      <c r="CI38" s="13">
        <f>IF(SUM(K38:R38)=0,0,TheModel!$G$29)</f>
        <v>0</v>
      </c>
      <c r="CJ38" s="13">
        <f>IF(SUM(S38:Z38)=0,0,SUMPRODUCT(S38:Y38,TheModel!$G$30:$M$30)/SUM(S38:Y38))</f>
        <v>0</v>
      </c>
      <c r="CK38" s="151">
        <f>IF(SUM(AA38:AH38)=0,0,TheModel!$G$31)</f>
        <v>0</v>
      </c>
      <c r="CL38" s="151">
        <f>IF(SUM(AI38:AP38)=0,0,TheModel!$G$32)</f>
        <v>0</v>
      </c>
      <c r="CM38" s="13">
        <f>IF(SUM(AQ38:AX38)=0,0,SUMPRODUCT(AQ38:AW38,TheModel!$G$33:$M$33)/SUM(AQ38:AW38))</f>
        <v>0</v>
      </c>
      <c r="CN38" s="13">
        <f>IF(SUM(AY38:BF38)=0,0,SUMPRODUCT(AY38:BE38,TheModel!$G$34:$M$34)/SUM(AY38:BE38))</f>
        <v>0</v>
      </c>
      <c r="CO38" s="151">
        <f>IF(SUM(BG38:BN38)=0,0,TheModel!$J$35)</f>
        <v>0</v>
      </c>
      <c r="CP38" s="151">
        <f>IF(SUM(BO38:BV38)=0,0,TheModel!$J$35)</f>
        <v>0</v>
      </c>
      <c r="CQ38" s="151">
        <f>IF(SUM(BW38:CD38)=0,0,TheModel!$J$35)</f>
        <v>0</v>
      </c>
      <c r="CS38" s="225" t="e">
        <f t="array" ref="CS38">SUM(C38:I38*CN_PER)/SUM(C38:I38)</f>
        <v>#DIV/0!</v>
      </c>
      <c r="CT38" s="126" t="e">
        <f t="array" ref="CT38">SUM(AY38:BE38*CN_PER)/SUM(AY38:BE38)</f>
        <v>#DIV/0!</v>
      </c>
      <c r="CU38" s="225" t="e">
        <f t="array" ref="CU38">SUM(S38:Y38*CN_TCP)/SUM(S38:Y38)</f>
        <v>#DIV/0!</v>
      </c>
      <c r="CV38" s="126" t="e">
        <f t="array" ref="CV38">SUM(S38:Y38*CN_FOS)/SUM(S38:Y38)</f>
        <v>#DIV/0!</v>
      </c>
    </row>
    <row r="39" spans="1:100" ht="15.75" thickBot="1" x14ac:dyDescent="0.3">
      <c r="A39" s="154">
        <v>34</v>
      </c>
      <c r="B39" s="78"/>
      <c r="C39" s="78"/>
      <c r="D39" s="78"/>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c r="CB39" s="78"/>
      <c r="CC39" s="78"/>
      <c r="CD39" s="78"/>
      <c r="CE39" s="150">
        <f t="shared" si="3"/>
        <v>0</v>
      </c>
      <c r="CG39" s="125">
        <v>34</v>
      </c>
      <c r="CH39" s="13">
        <f>IF(SUM(C39:J39)=0,0,SUMPRODUCT(C39:I39,TheModel!$G$28:$M$28)/SUM(C39:I39))</f>
        <v>0</v>
      </c>
      <c r="CI39" s="13">
        <f>IF(SUM(K39:R39)=0,0,TheModel!$G$29)</f>
        <v>0</v>
      </c>
      <c r="CJ39" s="13">
        <f>IF(SUM(S39:Z39)=0,0,SUMPRODUCT(S39:Y39,TheModel!$G$30:$M$30)/SUM(S39:Y39))</f>
        <v>0</v>
      </c>
      <c r="CK39" s="151">
        <f>IF(SUM(AA39:AH39)=0,0,TheModel!$G$31)</f>
        <v>0</v>
      </c>
      <c r="CL39" s="151">
        <f>IF(SUM(AI39:AP39)=0,0,TheModel!$G$32)</f>
        <v>0</v>
      </c>
      <c r="CM39" s="13">
        <f>IF(SUM(AQ39:AX39)=0,0,SUMPRODUCT(AQ39:AW39,TheModel!$G$33:$M$33)/SUM(AQ39:AW39))</f>
        <v>0</v>
      </c>
      <c r="CN39" s="13">
        <f>IF(SUM(AY39:BF39)=0,0,SUMPRODUCT(AY39:BE39,TheModel!$G$34:$M$34)/SUM(AY39:BE39))</f>
        <v>0</v>
      </c>
      <c r="CO39" s="151">
        <f>IF(SUM(BG39:BN39)=0,0,TheModel!$J$35)</f>
        <v>0</v>
      </c>
      <c r="CP39" s="151">
        <f>IF(SUM(BO39:BV39)=0,0,TheModel!$J$35)</f>
        <v>0</v>
      </c>
      <c r="CQ39" s="151">
        <f>IF(SUM(BW39:CD39)=0,0,TheModel!$J$35)</f>
        <v>0</v>
      </c>
      <c r="CS39" s="225" t="e">
        <f t="array" ref="CS39">SUM(C39:I39*CN_PER)/SUM(C39:I39)</f>
        <v>#DIV/0!</v>
      </c>
      <c r="CT39" s="126" t="e">
        <f t="array" ref="CT39">SUM(AY39:BE39*CN_PER)/SUM(AY39:BE39)</f>
        <v>#DIV/0!</v>
      </c>
      <c r="CU39" s="225" t="e">
        <f t="array" ref="CU39">SUM(S39:Y39*CN_TCP)/SUM(S39:Y39)</f>
        <v>#DIV/0!</v>
      </c>
      <c r="CV39" s="126" t="e">
        <f t="array" ref="CV39">SUM(S39:Y39*CN_FOS)/SUM(S39:Y39)</f>
        <v>#DIV/0!</v>
      </c>
    </row>
    <row r="40" spans="1:100" ht="15.75" thickBot="1" x14ac:dyDescent="0.3">
      <c r="A40" s="154">
        <v>35</v>
      </c>
      <c r="B40" s="78"/>
      <c r="C40" s="78"/>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c r="CB40" s="78"/>
      <c r="CC40" s="78"/>
      <c r="CD40" s="78"/>
      <c r="CE40" s="150">
        <f t="shared" si="3"/>
        <v>0</v>
      </c>
      <c r="CG40" s="125">
        <v>35</v>
      </c>
      <c r="CH40" s="13">
        <f>IF(SUM(C40:J40)=0,0,SUMPRODUCT(C40:I40,TheModel!$G$28:$M$28)/SUM(C40:I40))</f>
        <v>0</v>
      </c>
      <c r="CI40" s="13">
        <f>IF(SUM(K40:R40)=0,0,TheModel!$G$29)</f>
        <v>0</v>
      </c>
      <c r="CJ40" s="13">
        <f>IF(SUM(S40:Z40)=0,0,SUMPRODUCT(S40:Y40,TheModel!$G$30:$M$30)/SUM(S40:Y40))</f>
        <v>0</v>
      </c>
      <c r="CK40" s="151">
        <f>IF(SUM(AA40:AH40)=0,0,TheModel!$G$31)</f>
        <v>0</v>
      </c>
      <c r="CL40" s="151">
        <f>IF(SUM(AI40:AP40)=0,0,TheModel!$G$32)</f>
        <v>0</v>
      </c>
      <c r="CM40" s="13">
        <f>IF(SUM(AQ40:AX40)=0,0,SUMPRODUCT(AQ40:AW40,TheModel!$G$33:$M$33)/SUM(AQ40:AW40))</f>
        <v>0</v>
      </c>
      <c r="CN40" s="13">
        <f>IF(SUM(AY40:BF40)=0,0,SUMPRODUCT(AY40:BE40,TheModel!$G$34:$M$34)/SUM(AY40:BE40))</f>
        <v>0</v>
      </c>
      <c r="CO40" s="151">
        <f>IF(SUM(BG40:BN40)=0,0,TheModel!$J$35)</f>
        <v>0</v>
      </c>
      <c r="CP40" s="151">
        <f>IF(SUM(BO40:BV40)=0,0,TheModel!$J$35)</f>
        <v>0</v>
      </c>
      <c r="CQ40" s="151">
        <f>IF(SUM(BW40:CD40)=0,0,TheModel!$J$35)</f>
        <v>0</v>
      </c>
      <c r="CS40" s="225" t="e">
        <f t="array" ref="CS40">SUM(C40:I40*CN_PER)/SUM(C40:I40)</f>
        <v>#DIV/0!</v>
      </c>
      <c r="CT40" s="126" t="e">
        <f t="array" ref="CT40">SUM(AY40:BE40*CN_PER)/SUM(AY40:BE40)</f>
        <v>#DIV/0!</v>
      </c>
      <c r="CU40" s="225" t="e">
        <f t="array" ref="CU40">SUM(S40:Y40*CN_TCP)/SUM(S40:Y40)</f>
        <v>#DIV/0!</v>
      </c>
      <c r="CV40" s="126" t="e">
        <f t="array" ref="CV40">SUM(S40:Y40*CN_FOS)/SUM(S40:Y40)</f>
        <v>#DIV/0!</v>
      </c>
    </row>
    <row r="41" spans="1:100" ht="15.75" thickBot="1" x14ac:dyDescent="0.3">
      <c r="A41" s="154">
        <v>36</v>
      </c>
      <c r="B41" s="78"/>
      <c r="C41" s="78"/>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78"/>
      <c r="CB41" s="78"/>
      <c r="CC41" s="78"/>
      <c r="CD41" s="78"/>
      <c r="CE41" s="150">
        <f t="shared" si="3"/>
        <v>0</v>
      </c>
      <c r="CG41" s="125">
        <v>36</v>
      </c>
      <c r="CH41" s="13">
        <f>IF(SUM(C41:J41)=0,0,SUMPRODUCT(C41:I41,TheModel!$G$28:$M$28)/SUM(C41:I41))</f>
        <v>0</v>
      </c>
      <c r="CI41" s="13">
        <f>IF(SUM(K41:R41)=0,0,TheModel!$G$29)</f>
        <v>0</v>
      </c>
      <c r="CJ41" s="13">
        <f>IF(SUM(S41:Z41)=0,0,SUMPRODUCT(S41:Y41,TheModel!$G$30:$M$30)/SUM(S41:Y41))</f>
        <v>0</v>
      </c>
      <c r="CK41" s="151">
        <f>IF(SUM(AA41:AH41)=0,0,TheModel!$G$31)</f>
        <v>0</v>
      </c>
      <c r="CL41" s="151">
        <f>IF(SUM(AI41:AP41)=0,0,TheModel!$G$32)</f>
        <v>0</v>
      </c>
      <c r="CM41" s="13">
        <f>IF(SUM(AQ41:AX41)=0,0,SUMPRODUCT(AQ41:AW41,TheModel!$G$33:$M$33)/SUM(AQ41:AW41))</f>
        <v>0</v>
      </c>
      <c r="CN41" s="13">
        <f>IF(SUM(AY41:BF41)=0,0,SUMPRODUCT(AY41:BE41,TheModel!$G$34:$M$34)/SUM(AY41:BE41))</f>
        <v>0</v>
      </c>
      <c r="CO41" s="151">
        <f>IF(SUM(BG41:BN41)=0,0,TheModel!$J$35)</f>
        <v>0</v>
      </c>
      <c r="CP41" s="151">
        <f>IF(SUM(BO41:BV41)=0,0,TheModel!$J$35)</f>
        <v>0</v>
      </c>
      <c r="CQ41" s="151">
        <f>IF(SUM(BW41:CD41)=0,0,TheModel!$J$35)</f>
        <v>0</v>
      </c>
      <c r="CS41" s="225" t="e">
        <f t="array" ref="CS41">SUM(C41:I41*CN_PER)/SUM(C41:I41)</f>
        <v>#DIV/0!</v>
      </c>
      <c r="CT41" s="126" t="e">
        <f t="array" ref="CT41">SUM(AY41:BE41*CN_PER)/SUM(AY41:BE41)</f>
        <v>#DIV/0!</v>
      </c>
      <c r="CU41" s="225" t="e">
        <f t="array" ref="CU41">SUM(S41:Y41*CN_TCP)/SUM(S41:Y41)</f>
        <v>#DIV/0!</v>
      </c>
      <c r="CV41" s="126" t="e">
        <f t="array" ref="CV41">SUM(S41:Y41*CN_FOS)/SUM(S41:Y41)</f>
        <v>#DIV/0!</v>
      </c>
    </row>
    <row r="42" spans="1:100" ht="15.75" thickBot="1" x14ac:dyDescent="0.3">
      <c r="A42" s="154">
        <v>37</v>
      </c>
      <c r="B42" s="78"/>
      <c r="C42" s="78"/>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150">
        <f t="shared" si="3"/>
        <v>0</v>
      </c>
      <c r="CG42" s="125">
        <v>37</v>
      </c>
      <c r="CH42" s="13">
        <f>IF(SUM(C42:J42)=0,0,SUMPRODUCT(C42:I42,TheModel!$G$28:$M$28)/SUM(C42:I42))</f>
        <v>0</v>
      </c>
      <c r="CI42" s="13">
        <f>IF(SUM(K42:R42)=0,0,TheModel!$G$29)</f>
        <v>0</v>
      </c>
      <c r="CJ42" s="13">
        <f>IF(SUM(S42:Z42)=0,0,SUMPRODUCT(S42:Y42,TheModel!$G$30:$M$30)/SUM(S42:Y42))</f>
        <v>0</v>
      </c>
      <c r="CK42" s="151">
        <f>IF(SUM(AA42:AH42)=0,0,TheModel!$G$31)</f>
        <v>0</v>
      </c>
      <c r="CL42" s="151">
        <f>IF(SUM(AI42:AP42)=0,0,TheModel!$G$32)</f>
        <v>0</v>
      </c>
      <c r="CM42" s="13">
        <f>IF(SUM(AQ42:AX42)=0,0,SUMPRODUCT(AQ42:AW42,TheModel!$G$33:$M$33)/SUM(AQ42:AW42))</f>
        <v>0</v>
      </c>
      <c r="CN42" s="13">
        <f>IF(SUM(AY42:BF42)=0,0,SUMPRODUCT(AY42:BE42,TheModel!$G$34:$M$34)/SUM(AY42:BE42))</f>
        <v>0</v>
      </c>
      <c r="CO42" s="151">
        <f>IF(SUM(BG42:BN42)=0,0,TheModel!$J$35)</f>
        <v>0</v>
      </c>
      <c r="CP42" s="151">
        <f>IF(SUM(BO42:BV42)=0,0,TheModel!$J$35)</f>
        <v>0</v>
      </c>
      <c r="CQ42" s="151">
        <f>IF(SUM(BW42:CD42)=0,0,TheModel!$J$35)</f>
        <v>0</v>
      </c>
      <c r="CS42" s="225" t="e">
        <f t="array" ref="CS42">SUM(C42:I42*CN_PER)/SUM(C42:I42)</f>
        <v>#DIV/0!</v>
      </c>
      <c r="CT42" s="126" t="e">
        <f t="array" ref="CT42">SUM(AY42:BE42*CN_PER)/SUM(AY42:BE42)</f>
        <v>#DIV/0!</v>
      </c>
      <c r="CU42" s="225" t="e">
        <f t="array" ref="CU42">SUM(S42:Y42*CN_TCP)/SUM(S42:Y42)</f>
        <v>#DIV/0!</v>
      </c>
      <c r="CV42" s="126" t="e">
        <f t="array" ref="CV42">SUM(S42:Y42*CN_FOS)/SUM(S42:Y42)</f>
        <v>#DIV/0!</v>
      </c>
    </row>
    <row r="43" spans="1:100" ht="15.75" thickBot="1" x14ac:dyDescent="0.3">
      <c r="A43" s="154">
        <v>38</v>
      </c>
      <c r="B43" s="78"/>
      <c r="C43" s="78"/>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150">
        <f t="shared" si="3"/>
        <v>0</v>
      </c>
      <c r="CG43" s="125">
        <v>38</v>
      </c>
      <c r="CH43" s="13">
        <f>IF(SUM(C43:J43)=0,0,SUMPRODUCT(C43:I43,TheModel!$G$28:$M$28)/SUM(C43:I43))</f>
        <v>0</v>
      </c>
      <c r="CI43" s="13">
        <f>IF(SUM(K43:R43)=0,0,TheModel!$G$29)</f>
        <v>0</v>
      </c>
      <c r="CJ43" s="13">
        <f>IF(SUM(S43:Z43)=0,0,SUMPRODUCT(S43:Y43,TheModel!$G$30:$M$30)/SUM(S43:Y43))</f>
        <v>0</v>
      </c>
      <c r="CK43" s="151">
        <f>IF(SUM(AA43:AH43)=0,0,TheModel!$G$31)</f>
        <v>0</v>
      </c>
      <c r="CL43" s="151">
        <f>IF(SUM(AI43:AP43)=0,0,TheModel!$G$32)</f>
        <v>0</v>
      </c>
      <c r="CM43" s="13">
        <f>IF(SUM(AQ43:AX43)=0,0,SUMPRODUCT(AQ43:AW43,TheModel!$G$33:$M$33)/SUM(AQ43:AW43))</f>
        <v>0</v>
      </c>
      <c r="CN43" s="13">
        <f>IF(SUM(AY43:BF43)=0,0,SUMPRODUCT(AY43:BE43,TheModel!$G$34:$M$34)/SUM(AY43:BE43))</f>
        <v>0</v>
      </c>
      <c r="CO43" s="151">
        <f>IF(SUM(BG43:BN43)=0,0,TheModel!$J$35)</f>
        <v>0</v>
      </c>
      <c r="CP43" s="151">
        <f>IF(SUM(BO43:BV43)=0,0,TheModel!$J$35)</f>
        <v>0</v>
      </c>
      <c r="CQ43" s="151">
        <f>IF(SUM(BW43:CD43)=0,0,TheModel!$J$35)</f>
        <v>0</v>
      </c>
      <c r="CS43" s="225" t="e">
        <f t="array" ref="CS43">SUM(C43:I43*CN_PER)/SUM(C43:I43)</f>
        <v>#DIV/0!</v>
      </c>
      <c r="CT43" s="126" t="e">
        <f t="array" ref="CT43">SUM(AY43:BE43*CN_PER)/SUM(AY43:BE43)</f>
        <v>#DIV/0!</v>
      </c>
      <c r="CU43" s="225" t="e">
        <f t="array" ref="CU43">SUM(S43:Y43*CN_TCP)/SUM(S43:Y43)</f>
        <v>#DIV/0!</v>
      </c>
      <c r="CV43" s="126" t="e">
        <f t="array" ref="CV43">SUM(S43:Y43*CN_FOS)/SUM(S43:Y43)</f>
        <v>#DIV/0!</v>
      </c>
    </row>
    <row r="44" spans="1:100" ht="15.75" thickBot="1" x14ac:dyDescent="0.3">
      <c r="A44" s="154">
        <v>39</v>
      </c>
      <c r="B44" s="78"/>
      <c r="C44" s="78"/>
      <c r="D44" s="78"/>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c r="CB44" s="78"/>
      <c r="CC44" s="78"/>
      <c r="CD44" s="78"/>
      <c r="CE44" s="150">
        <f t="shared" si="3"/>
        <v>0</v>
      </c>
      <c r="CG44" s="125">
        <v>39</v>
      </c>
      <c r="CH44" s="13">
        <f>IF(SUM(C44:J44)=0,0,SUMPRODUCT(C44:I44,TheModel!$G$28:$M$28)/SUM(C44:I44))</f>
        <v>0</v>
      </c>
      <c r="CI44" s="13">
        <f>IF(SUM(K44:R44)=0,0,TheModel!$G$29)</f>
        <v>0</v>
      </c>
      <c r="CJ44" s="13">
        <f>IF(SUM(S44:Z44)=0,0,SUMPRODUCT(S44:Y44,TheModel!$G$30:$M$30)/SUM(S44:Y44))</f>
        <v>0</v>
      </c>
      <c r="CK44" s="151">
        <f>IF(SUM(AA44:AH44)=0,0,TheModel!$G$31)</f>
        <v>0</v>
      </c>
      <c r="CL44" s="151">
        <f>IF(SUM(AI44:AP44)=0,0,TheModel!$G$32)</f>
        <v>0</v>
      </c>
      <c r="CM44" s="13">
        <f>IF(SUM(AQ44:AX44)=0,0,SUMPRODUCT(AQ44:AW44,TheModel!$G$33:$M$33)/SUM(AQ44:AW44))</f>
        <v>0</v>
      </c>
      <c r="CN44" s="13">
        <f>IF(SUM(AY44:BF44)=0,0,SUMPRODUCT(AY44:BE44,TheModel!$G$34:$M$34)/SUM(AY44:BE44))</f>
        <v>0</v>
      </c>
      <c r="CO44" s="151">
        <f>IF(SUM(BG44:BN44)=0,0,TheModel!$J$35)</f>
        <v>0</v>
      </c>
      <c r="CP44" s="151">
        <f>IF(SUM(BO44:BV44)=0,0,TheModel!$J$35)</f>
        <v>0</v>
      </c>
      <c r="CQ44" s="151">
        <f>IF(SUM(BW44:CD44)=0,0,TheModel!$J$35)</f>
        <v>0</v>
      </c>
      <c r="CS44" s="225" t="e">
        <f t="array" ref="CS44">SUM(C44:I44*CN_PER)/SUM(C44:I44)</f>
        <v>#DIV/0!</v>
      </c>
      <c r="CT44" s="126" t="e">
        <f t="array" ref="CT44">SUM(AY44:BE44*CN_PER)/SUM(AY44:BE44)</f>
        <v>#DIV/0!</v>
      </c>
      <c r="CU44" s="225" t="e">
        <f t="array" ref="CU44">SUM(S44:Y44*CN_TCP)/SUM(S44:Y44)</f>
        <v>#DIV/0!</v>
      </c>
      <c r="CV44" s="126" t="e">
        <f t="array" ref="CV44">SUM(S44:Y44*CN_FOS)/SUM(S44:Y44)</f>
        <v>#DIV/0!</v>
      </c>
    </row>
    <row r="45" spans="1:100" ht="15.75" thickBot="1" x14ac:dyDescent="0.3">
      <c r="A45" s="154">
        <v>40</v>
      </c>
      <c r="B45" s="78"/>
      <c r="C45" s="78"/>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c r="CB45" s="78"/>
      <c r="CC45" s="78"/>
      <c r="CD45" s="78"/>
      <c r="CE45" s="150">
        <f t="shared" si="3"/>
        <v>0</v>
      </c>
      <c r="CG45" s="125">
        <v>40</v>
      </c>
      <c r="CH45" s="13">
        <f>IF(SUM(C45:J45)=0,0,SUMPRODUCT(C45:I45,TheModel!$G$28:$M$28)/SUM(C45:I45))</f>
        <v>0</v>
      </c>
      <c r="CI45" s="13">
        <f>IF(SUM(K45:R45)=0,0,TheModel!$G$29)</f>
        <v>0</v>
      </c>
      <c r="CJ45" s="13">
        <f>IF(SUM(S45:Z45)=0,0,SUMPRODUCT(S45:Y45,TheModel!$G$30:$M$30)/SUM(S45:Y45))</f>
        <v>0</v>
      </c>
      <c r="CK45" s="151">
        <f>IF(SUM(AA45:AH45)=0,0,TheModel!$G$31)</f>
        <v>0</v>
      </c>
      <c r="CL45" s="151">
        <f>IF(SUM(AI45:AP45)=0,0,TheModel!$G$32)</f>
        <v>0</v>
      </c>
      <c r="CM45" s="13">
        <f>IF(SUM(AQ45:AX45)=0,0,SUMPRODUCT(AQ45:AW45,TheModel!$G$33:$M$33)/SUM(AQ45:AW45))</f>
        <v>0</v>
      </c>
      <c r="CN45" s="13">
        <f>IF(SUM(AY45:BF45)=0,0,SUMPRODUCT(AY45:BE45,TheModel!$G$34:$M$34)/SUM(AY45:BE45))</f>
        <v>0</v>
      </c>
      <c r="CO45" s="151">
        <f>IF(SUM(BG45:BN45)=0,0,TheModel!$J$35)</f>
        <v>0</v>
      </c>
      <c r="CP45" s="151">
        <f>IF(SUM(BO45:BV45)=0,0,TheModel!$J$35)</f>
        <v>0</v>
      </c>
      <c r="CQ45" s="151">
        <f>IF(SUM(BW45:CD45)=0,0,TheModel!$J$35)</f>
        <v>0</v>
      </c>
      <c r="CS45" s="225" t="e">
        <f t="array" ref="CS45">SUM(C45:I45*CN_PER)/SUM(C45:I45)</f>
        <v>#DIV/0!</v>
      </c>
      <c r="CT45" s="126" t="e">
        <f t="array" ref="CT45">SUM(AY45:BE45*CN_PER)/SUM(AY45:BE45)</f>
        <v>#DIV/0!</v>
      </c>
      <c r="CU45" s="225" t="e">
        <f t="array" ref="CU45">SUM(S45:Y45*CN_TCP)/SUM(S45:Y45)</f>
        <v>#DIV/0!</v>
      </c>
      <c r="CV45" s="126" t="e">
        <f t="array" ref="CV45">SUM(S45:Y45*CN_FOS)/SUM(S45:Y45)</f>
        <v>#DIV/0!</v>
      </c>
    </row>
    <row r="46" spans="1:100" ht="15.75" thickBot="1" x14ac:dyDescent="0.3">
      <c r="A46" s="154">
        <v>41</v>
      </c>
      <c r="B46" s="78"/>
      <c r="C46" s="78"/>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c r="CC46" s="78"/>
      <c r="CD46" s="78"/>
      <c r="CE46" s="150">
        <f t="shared" si="3"/>
        <v>0</v>
      </c>
      <c r="CG46" s="125">
        <v>41</v>
      </c>
      <c r="CH46" s="13">
        <f>IF(SUM(C46:J46)=0,0,SUMPRODUCT(C46:I46,TheModel!$G$28:$M$28)/SUM(C46:I46))</f>
        <v>0</v>
      </c>
      <c r="CI46" s="13">
        <f>IF(SUM(K46:R46)=0,0,TheModel!$G$29)</f>
        <v>0</v>
      </c>
      <c r="CJ46" s="13">
        <f>IF(SUM(S46:Z46)=0,0,SUMPRODUCT(S46:Y46,TheModel!$G$30:$M$30)/SUM(S46:Y46))</f>
        <v>0</v>
      </c>
      <c r="CK46" s="151">
        <f>IF(SUM(AA46:AH46)=0,0,TheModel!$G$31)</f>
        <v>0</v>
      </c>
      <c r="CL46" s="151">
        <f>IF(SUM(AI46:AP46)=0,0,TheModel!$G$32)</f>
        <v>0</v>
      </c>
      <c r="CM46" s="13">
        <f>IF(SUM(AQ46:AX46)=0,0,SUMPRODUCT(AQ46:AW46,TheModel!$G$33:$M$33)/SUM(AQ46:AW46))</f>
        <v>0</v>
      </c>
      <c r="CN46" s="13">
        <f>IF(SUM(AY46:BF46)=0,0,SUMPRODUCT(AY46:BE46,TheModel!$G$34:$M$34)/SUM(AY46:BE46))</f>
        <v>0</v>
      </c>
      <c r="CO46" s="151">
        <f>IF(SUM(BG46:BN46)=0,0,TheModel!$J$35)</f>
        <v>0</v>
      </c>
      <c r="CP46" s="151">
        <f>IF(SUM(BO46:BV46)=0,0,TheModel!$J$35)</f>
        <v>0</v>
      </c>
      <c r="CQ46" s="151">
        <f>IF(SUM(BW46:CD46)=0,0,TheModel!$J$35)</f>
        <v>0</v>
      </c>
      <c r="CS46" s="225" t="e">
        <f t="array" ref="CS46">SUM(C46:I46*CN_PER)/SUM(C46:I46)</f>
        <v>#DIV/0!</v>
      </c>
      <c r="CT46" s="126" t="e">
        <f t="array" ref="CT46">SUM(AY46:BE46*CN_PER)/SUM(AY46:BE46)</f>
        <v>#DIV/0!</v>
      </c>
      <c r="CU46" s="225" t="e">
        <f t="array" ref="CU46">SUM(S46:Y46*CN_TCP)/SUM(S46:Y46)</f>
        <v>#DIV/0!</v>
      </c>
      <c r="CV46" s="126" t="e">
        <f t="array" ref="CV46">SUM(S46:Y46*CN_FOS)/SUM(S46:Y46)</f>
        <v>#DIV/0!</v>
      </c>
    </row>
    <row r="47" spans="1:100" ht="15.75" thickBot="1" x14ac:dyDescent="0.3">
      <c r="A47" s="154">
        <v>42</v>
      </c>
      <c r="B47" s="78"/>
      <c r="C47" s="78"/>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c r="CB47" s="78"/>
      <c r="CC47" s="78"/>
      <c r="CD47" s="78"/>
      <c r="CE47" s="150">
        <f t="shared" si="3"/>
        <v>0</v>
      </c>
      <c r="CG47" s="125">
        <v>42</v>
      </c>
      <c r="CH47" s="13">
        <f>IF(SUM(C47:J47)=0,0,SUMPRODUCT(C47:I47,TheModel!$G$28:$M$28)/SUM(C47:I47))</f>
        <v>0</v>
      </c>
      <c r="CI47" s="13">
        <f>IF(SUM(K47:R47)=0,0,TheModel!$G$29)</f>
        <v>0</v>
      </c>
      <c r="CJ47" s="13">
        <f>IF(SUM(S47:Z47)=0,0,SUMPRODUCT(S47:Y47,TheModel!$G$30:$M$30)/SUM(S47:Y47))</f>
        <v>0</v>
      </c>
      <c r="CK47" s="151">
        <f>IF(SUM(AA47:AH47)=0,0,TheModel!$G$31)</f>
        <v>0</v>
      </c>
      <c r="CL47" s="151">
        <f>IF(SUM(AI47:AP47)=0,0,TheModel!$G$32)</f>
        <v>0</v>
      </c>
      <c r="CM47" s="13">
        <f>IF(SUM(AQ47:AX47)=0,0,SUMPRODUCT(AQ47:AW47,TheModel!$G$33:$M$33)/SUM(AQ47:AW47))</f>
        <v>0</v>
      </c>
      <c r="CN47" s="13">
        <f>IF(SUM(AY47:BF47)=0,0,SUMPRODUCT(AY47:BE47,TheModel!$G$34:$M$34)/SUM(AY47:BE47))</f>
        <v>0</v>
      </c>
      <c r="CO47" s="151">
        <f>IF(SUM(BG47:BN47)=0,0,TheModel!$J$35)</f>
        <v>0</v>
      </c>
      <c r="CP47" s="151">
        <f>IF(SUM(BO47:BV47)=0,0,TheModel!$J$35)</f>
        <v>0</v>
      </c>
      <c r="CQ47" s="151">
        <f>IF(SUM(BW47:CD47)=0,0,TheModel!$J$35)</f>
        <v>0</v>
      </c>
      <c r="CS47" s="225" t="e">
        <f t="array" ref="CS47">SUM(C47:I47*CN_PER)/SUM(C47:I47)</f>
        <v>#DIV/0!</v>
      </c>
      <c r="CT47" s="126" t="e">
        <f t="array" ref="CT47">SUM(AY47:BE47*CN_PER)/SUM(AY47:BE47)</f>
        <v>#DIV/0!</v>
      </c>
      <c r="CU47" s="225" t="e">
        <f t="array" ref="CU47">SUM(S47:Y47*CN_TCP)/SUM(S47:Y47)</f>
        <v>#DIV/0!</v>
      </c>
      <c r="CV47" s="126" t="e">
        <f t="array" ref="CV47">SUM(S47:Y47*CN_FOS)/SUM(S47:Y47)</f>
        <v>#DIV/0!</v>
      </c>
    </row>
    <row r="48" spans="1:100" ht="15.75" thickBot="1" x14ac:dyDescent="0.3">
      <c r="A48" s="154">
        <v>43</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c r="CC48" s="78"/>
      <c r="CD48" s="78"/>
      <c r="CE48" s="150">
        <f t="shared" si="3"/>
        <v>0</v>
      </c>
      <c r="CG48" s="125">
        <v>43</v>
      </c>
      <c r="CH48" s="13">
        <f>IF(SUM(C48:J48)=0,0,SUMPRODUCT(C48:I48,TheModel!$G$28:$M$28)/SUM(C48:I48))</f>
        <v>0</v>
      </c>
      <c r="CI48" s="13">
        <f>IF(SUM(K48:R48)=0,0,TheModel!$G$29)</f>
        <v>0</v>
      </c>
      <c r="CJ48" s="13">
        <f>IF(SUM(S48:Z48)=0,0,SUMPRODUCT(S48:Y48,TheModel!$G$30:$M$30)/SUM(S48:Y48))</f>
        <v>0</v>
      </c>
      <c r="CK48" s="151">
        <f>IF(SUM(AA48:AH48)=0,0,TheModel!$G$31)</f>
        <v>0</v>
      </c>
      <c r="CL48" s="151">
        <f>IF(SUM(AI48:AP48)=0,0,TheModel!$G$32)</f>
        <v>0</v>
      </c>
      <c r="CM48" s="13">
        <f>IF(SUM(AQ48:AX48)=0,0,SUMPRODUCT(AQ48:AW48,TheModel!$G$33:$M$33)/SUM(AQ48:AW48))</f>
        <v>0</v>
      </c>
      <c r="CN48" s="13">
        <f>IF(SUM(AY48:BF48)=0,0,SUMPRODUCT(AY48:BE48,TheModel!$G$34:$M$34)/SUM(AY48:BE48))</f>
        <v>0</v>
      </c>
      <c r="CO48" s="151">
        <f>IF(SUM(BG48:BN48)=0,0,TheModel!$J$35)</f>
        <v>0</v>
      </c>
      <c r="CP48" s="151">
        <f>IF(SUM(BO48:BV48)=0,0,TheModel!$J$35)</f>
        <v>0</v>
      </c>
      <c r="CQ48" s="151">
        <f>IF(SUM(BW48:CD48)=0,0,TheModel!$J$35)</f>
        <v>0</v>
      </c>
      <c r="CS48" s="225" t="e">
        <f t="array" ref="CS48">SUM(C48:I48*CN_PER)/SUM(C48:I48)</f>
        <v>#DIV/0!</v>
      </c>
      <c r="CT48" s="126" t="e">
        <f t="array" ref="CT48">SUM(AY48:BE48*CN_PER)/SUM(AY48:BE48)</f>
        <v>#DIV/0!</v>
      </c>
      <c r="CU48" s="225" t="e">
        <f t="array" ref="CU48">SUM(S48:Y48*CN_TCP)/SUM(S48:Y48)</f>
        <v>#DIV/0!</v>
      </c>
      <c r="CV48" s="126" t="e">
        <f t="array" ref="CV48">SUM(S48:Y48*CN_FOS)/SUM(S48:Y48)</f>
        <v>#DIV/0!</v>
      </c>
    </row>
    <row r="49" spans="1:100" ht="15.75" thickBot="1" x14ac:dyDescent="0.3">
      <c r="A49" s="154">
        <v>44</v>
      </c>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c r="CC49" s="78"/>
      <c r="CD49" s="78"/>
      <c r="CE49" s="150">
        <f t="shared" si="3"/>
        <v>0</v>
      </c>
      <c r="CG49" s="125">
        <v>44</v>
      </c>
      <c r="CH49" s="13">
        <f>IF(SUM(C49:J49)=0,0,SUMPRODUCT(C49:I49,TheModel!$G$28:$M$28)/SUM(C49:I49))</f>
        <v>0</v>
      </c>
      <c r="CI49" s="13">
        <f>IF(SUM(K49:R49)=0,0,TheModel!$G$29)</f>
        <v>0</v>
      </c>
      <c r="CJ49" s="13">
        <f>IF(SUM(S49:Z49)=0,0,SUMPRODUCT(S49:Y49,TheModel!$G$30:$M$30)/SUM(S49:Y49))</f>
        <v>0</v>
      </c>
      <c r="CK49" s="151">
        <f>IF(SUM(AA49:AH49)=0,0,TheModel!$G$31)</f>
        <v>0</v>
      </c>
      <c r="CL49" s="151">
        <f>IF(SUM(AI49:AP49)=0,0,TheModel!$G$32)</f>
        <v>0</v>
      </c>
      <c r="CM49" s="13">
        <f>IF(SUM(AQ49:AX49)=0,0,SUMPRODUCT(AQ49:AW49,TheModel!$G$33:$M$33)/SUM(AQ49:AW49))</f>
        <v>0</v>
      </c>
      <c r="CN49" s="13">
        <f>IF(SUM(AY49:BF49)=0,0,SUMPRODUCT(AY49:BE49,TheModel!$G$34:$M$34)/SUM(AY49:BE49))</f>
        <v>0</v>
      </c>
      <c r="CO49" s="151">
        <f>IF(SUM(BG49:BN49)=0,0,TheModel!$J$35)</f>
        <v>0</v>
      </c>
      <c r="CP49" s="151">
        <f>IF(SUM(BO49:BV49)=0,0,TheModel!$J$35)</f>
        <v>0</v>
      </c>
      <c r="CQ49" s="151">
        <f>IF(SUM(BW49:CD49)=0,0,TheModel!$J$35)</f>
        <v>0</v>
      </c>
      <c r="CS49" s="225" t="e">
        <f t="array" ref="CS49">SUM(C49:I49*CN_PER)/SUM(C49:I49)</f>
        <v>#DIV/0!</v>
      </c>
      <c r="CT49" s="126" t="e">
        <f t="array" ref="CT49">SUM(AY49:BE49*CN_PER)/SUM(AY49:BE49)</f>
        <v>#DIV/0!</v>
      </c>
      <c r="CU49" s="225" t="e">
        <f t="array" ref="CU49">SUM(S49:Y49*CN_TCP)/SUM(S49:Y49)</f>
        <v>#DIV/0!</v>
      </c>
      <c r="CV49" s="126" t="e">
        <f t="array" ref="CV49">SUM(S49:Y49*CN_FOS)/SUM(S49:Y49)</f>
        <v>#DIV/0!</v>
      </c>
    </row>
    <row r="50" spans="1:100" ht="15.75" thickBot="1" x14ac:dyDescent="0.3">
      <c r="A50" s="154">
        <v>45</v>
      </c>
      <c r="B50" s="78"/>
      <c r="C50" s="78"/>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c r="CC50" s="78"/>
      <c r="CD50" s="78"/>
      <c r="CE50" s="150">
        <f t="shared" si="3"/>
        <v>0</v>
      </c>
      <c r="CG50" s="125">
        <v>45</v>
      </c>
      <c r="CH50" s="13">
        <f>IF(SUM(C50:J50)=0,0,SUMPRODUCT(C50:I50,TheModel!$G$28:$M$28)/SUM(C50:I50))</f>
        <v>0</v>
      </c>
      <c r="CI50" s="13">
        <f>IF(SUM(K50:R50)=0,0,TheModel!$G$29)</f>
        <v>0</v>
      </c>
      <c r="CJ50" s="13">
        <f>IF(SUM(S50:Z50)=0,0,SUMPRODUCT(S50:Y50,TheModel!$G$30:$M$30)/SUM(S50:Y50))</f>
        <v>0</v>
      </c>
      <c r="CK50" s="151">
        <f>IF(SUM(AA50:AH50)=0,0,TheModel!$G$31)</f>
        <v>0</v>
      </c>
      <c r="CL50" s="151">
        <f>IF(SUM(AI50:AP50)=0,0,TheModel!$G$32)</f>
        <v>0</v>
      </c>
      <c r="CM50" s="13">
        <f>IF(SUM(AQ50:AX50)=0,0,SUMPRODUCT(AQ50:AW50,TheModel!$G$33:$M$33)/SUM(AQ50:AW50))</f>
        <v>0</v>
      </c>
      <c r="CN50" s="13">
        <f>IF(SUM(AY50:BF50)=0,0,SUMPRODUCT(AY50:BE50,TheModel!$G$34:$M$34)/SUM(AY50:BE50))</f>
        <v>0</v>
      </c>
      <c r="CO50" s="151">
        <f>IF(SUM(BG50:BN50)=0,0,TheModel!$J$35)</f>
        <v>0</v>
      </c>
      <c r="CP50" s="151">
        <f>IF(SUM(BO50:BV50)=0,0,TheModel!$J$35)</f>
        <v>0</v>
      </c>
      <c r="CQ50" s="151">
        <f>IF(SUM(BW50:CD50)=0,0,TheModel!$J$35)</f>
        <v>0</v>
      </c>
      <c r="CS50" s="225" t="e">
        <f t="array" ref="CS50">SUM(C50:I50*CN_PER)/SUM(C50:I50)</f>
        <v>#DIV/0!</v>
      </c>
      <c r="CT50" s="126" t="e">
        <f t="array" ref="CT50">SUM(AY50:BE50*CN_PER)/SUM(AY50:BE50)</f>
        <v>#DIV/0!</v>
      </c>
      <c r="CU50" s="225" t="e">
        <f t="array" ref="CU50">SUM(S50:Y50*CN_TCP)/SUM(S50:Y50)</f>
        <v>#DIV/0!</v>
      </c>
      <c r="CV50" s="126" t="e">
        <f t="array" ref="CV50">SUM(S50:Y50*CN_FOS)/SUM(S50:Y50)</f>
        <v>#DIV/0!</v>
      </c>
    </row>
    <row r="51" spans="1:100" ht="15.75" thickBot="1" x14ac:dyDescent="0.3">
      <c r="A51" s="154">
        <v>46</v>
      </c>
      <c r="B51" s="78"/>
      <c r="C51" s="78"/>
      <c r="D51" s="78"/>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c r="CC51" s="78"/>
      <c r="CD51" s="78"/>
      <c r="CE51" s="150">
        <f t="shared" si="3"/>
        <v>0</v>
      </c>
      <c r="CG51" s="125">
        <v>46</v>
      </c>
      <c r="CH51" s="13">
        <f>IF(SUM(C51:J51)=0,0,SUMPRODUCT(C51:I51,TheModel!$G$28:$M$28)/SUM(C51:I51))</f>
        <v>0</v>
      </c>
      <c r="CI51" s="13">
        <f>IF(SUM(K51:R51)=0,0,TheModel!$G$29)</f>
        <v>0</v>
      </c>
      <c r="CJ51" s="13">
        <f>IF(SUM(S51:Z51)=0,0,SUMPRODUCT(S51:Y51,TheModel!$G$30:$M$30)/SUM(S51:Y51))</f>
        <v>0</v>
      </c>
      <c r="CK51" s="151">
        <f>IF(SUM(AA51:AH51)=0,0,TheModel!$G$31)</f>
        <v>0</v>
      </c>
      <c r="CL51" s="151">
        <f>IF(SUM(AI51:AP51)=0,0,TheModel!$G$32)</f>
        <v>0</v>
      </c>
      <c r="CM51" s="13">
        <f>IF(SUM(AQ51:AX51)=0,0,SUMPRODUCT(AQ51:AW51,TheModel!$G$33:$M$33)/SUM(AQ51:AW51))</f>
        <v>0</v>
      </c>
      <c r="CN51" s="13">
        <f>IF(SUM(AY51:BF51)=0,0,SUMPRODUCT(AY51:BE51,TheModel!$G$34:$M$34)/SUM(AY51:BE51))</f>
        <v>0</v>
      </c>
      <c r="CO51" s="151">
        <f>IF(SUM(BG51:BN51)=0,0,TheModel!$J$35)</f>
        <v>0</v>
      </c>
      <c r="CP51" s="151">
        <f>IF(SUM(BO51:BV51)=0,0,TheModel!$J$35)</f>
        <v>0</v>
      </c>
      <c r="CQ51" s="151">
        <f>IF(SUM(BW51:CD51)=0,0,TheModel!$J$35)</f>
        <v>0</v>
      </c>
      <c r="CS51" s="225" t="e">
        <f t="array" ref="CS51">SUM(C51:I51*CN_PER)/SUM(C51:I51)</f>
        <v>#DIV/0!</v>
      </c>
      <c r="CT51" s="126" t="e">
        <f t="array" ref="CT51">SUM(AY51:BE51*CN_PER)/SUM(AY51:BE51)</f>
        <v>#DIV/0!</v>
      </c>
      <c r="CU51" s="225" t="e">
        <f t="array" ref="CU51">SUM(S51:Y51*CN_TCP)/SUM(S51:Y51)</f>
        <v>#DIV/0!</v>
      </c>
      <c r="CV51" s="126" t="e">
        <f t="array" ref="CV51">SUM(S51:Y51*CN_FOS)/SUM(S51:Y51)</f>
        <v>#DIV/0!</v>
      </c>
    </row>
    <row r="52" spans="1:100" ht="15.75" thickBot="1" x14ac:dyDescent="0.3">
      <c r="A52" s="154">
        <v>47</v>
      </c>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c r="CC52" s="78"/>
      <c r="CD52" s="78"/>
      <c r="CE52" s="150">
        <f t="shared" si="3"/>
        <v>0</v>
      </c>
      <c r="CG52" s="125">
        <v>47</v>
      </c>
      <c r="CH52" s="13">
        <f>IF(SUM(C52:J52)=0,0,SUMPRODUCT(C52:I52,TheModel!$G$28:$M$28)/SUM(C52:I52))</f>
        <v>0</v>
      </c>
      <c r="CI52" s="13">
        <f>IF(SUM(K52:R52)=0,0,TheModel!$G$29)</f>
        <v>0</v>
      </c>
      <c r="CJ52" s="13">
        <f>IF(SUM(S52:Z52)=0,0,SUMPRODUCT(S52:Y52,TheModel!$G$30:$M$30)/SUM(S52:Y52))</f>
        <v>0</v>
      </c>
      <c r="CK52" s="151">
        <f>IF(SUM(AA52:AH52)=0,0,TheModel!$G$31)</f>
        <v>0</v>
      </c>
      <c r="CL52" s="151">
        <f>IF(SUM(AI52:AP52)=0,0,TheModel!$G$32)</f>
        <v>0</v>
      </c>
      <c r="CM52" s="13">
        <f>IF(SUM(AQ52:AX52)=0,0,SUMPRODUCT(AQ52:AW52,TheModel!$G$33:$M$33)/SUM(AQ52:AW52))</f>
        <v>0</v>
      </c>
      <c r="CN52" s="13">
        <f>IF(SUM(AY52:BF52)=0,0,SUMPRODUCT(AY52:BE52,TheModel!$G$34:$M$34)/SUM(AY52:BE52))</f>
        <v>0</v>
      </c>
      <c r="CO52" s="151">
        <f>IF(SUM(BG52:BN52)=0,0,TheModel!$J$35)</f>
        <v>0</v>
      </c>
      <c r="CP52" s="151">
        <f>IF(SUM(BO52:BV52)=0,0,TheModel!$J$35)</f>
        <v>0</v>
      </c>
      <c r="CQ52" s="151">
        <f>IF(SUM(BW52:CD52)=0,0,TheModel!$J$35)</f>
        <v>0</v>
      </c>
      <c r="CS52" s="225" t="e">
        <f t="array" ref="CS52">SUM(C52:I52*CN_PER)/SUM(C52:I52)</f>
        <v>#DIV/0!</v>
      </c>
      <c r="CT52" s="126" t="e">
        <f t="array" ref="CT52">SUM(AY52:BE52*CN_PER)/SUM(AY52:BE52)</f>
        <v>#DIV/0!</v>
      </c>
      <c r="CU52" s="225" t="e">
        <f t="array" ref="CU52">SUM(S52:Y52*CN_TCP)/SUM(S52:Y52)</f>
        <v>#DIV/0!</v>
      </c>
      <c r="CV52" s="126" t="e">
        <f t="array" ref="CV52">SUM(S52:Y52*CN_FOS)/SUM(S52:Y52)</f>
        <v>#DIV/0!</v>
      </c>
    </row>
    <row r="53" spans="1:100" ht="15.75" thickBot="1" x14ac:dyDescent="0.3">
      <c r="A53" s="154">
        <v>48</v>
      </c>
      <c r="B53" s="78"/>
      <c r="C53" s="78"/>
      <c r="D53" s="78"/>
      <c r="E53" s="78"/>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c r="CC53" s="78"/>
      <c r="CD53" s="78"/>
      <c r="CE53" s="150">
        <f t="shared" si="3"/>
        <v>0</v>
      </c>
      <c r="CG53" s="125">
        <v>48</v>
      </c>
      <c r="CH53" s="13">
        <f>IF(SUM(C53:J53)=0,0,SUMPRODUCT(C53:I53,TheModel!$G$28:$M$28)/SUM(C53:I53))</f>
        <v>0</v>
      </c>
      <c r="CI53" s="13">
        <f>IF(SUM(K53:R53)=0,0,TheModel!$G$29)</f>
        <v>0</v>
      </c>
      <c r="CJ53" s="13">
        <f>IF(SUM(S53:Z53)=0,0,SUMPRODUCT(S53:Y53,TheModel!$G$30:$M$30)/SUM(S53:Y53))</f>
        <v>0</v>
      </c>
      <c r="CK53" s="151">
        <f>IF(SUM(AA53:AH53)=0,0,TheModel!$G$31)</f>
        <v>0</v>
      </c>
      <c r="CL53" s="151">
        <f>IF(SUM(AI53:AP53)=0,0,TheModel!$G$32)</f>
        <v>0</v>
      </c>
      <c r="CM53" s="13">
        <f>IF(SUM(AQ53:AX53)=0,0,SUMPRODUCT(AQ53:AW53,TheModel!$G$33:$M$33)/SUM(AQ53:AW53))</f>
        <v>0</v>
      </c>
      <c r="CN53" s="13">
        <f>IF(SUM(AY53:BF53)=0,0,SUMPRODUCT(AY53:BE53,TheModel!$G$34:$M$34)/SUM(AY53:BE53))</f>
        <v>0</v>
      </c>
      <c r="CO53" s="151">
        <f>IF(SUM(BG53:BN53)=0,0,TheModel!$J$35)</f>
        <v>0</v>
      </c>
      <c r="CP53" s="151">
        <f>IF(SUM(BO53:BV53)=0,0,TheModel!$J$35)</f>
        <v>0</v>
      </c>
      <c r="CQ53" s="151">
        <f>IF(SUM(BW53:CD53)=0,0,TheModel!$J$35)</f>
        <v>0</v>
      </c>
      <c r="CS53" s="225" t="e">
        <f t="array" ref="CS53">SUM(C53:I53*CN_PER)/SUM(C53:I53)</f>
        <v>#DIV/0!</v>
      </c>
      <c r="CT53" s="126" t="e">
        <f t="array" ref="CT53">SUM(AY53:BE53*CN_PER)/SUM(AY53:BE53)</f>
        <v>#DIV/0!</v>
      </c>
      <c r="CU53" s="225" t="e">
        <f t="array" ref="CU53">SUM(S53:Y53*CN_TCP)/SUM(S53:Y53)</f>
        <v>#DIV/0!</v>
      </c>
      <c r="CV53" s="126" t="e">
        <f t="array" ref="CV53">SUM(S53:Y53*CN_FOS)/SUM(S53:Y53)</f>
        <v>#DIV/0!</v>
      </c>
    </row>
    <row r="54" spans="1:100" ht="15.75" thickBot="1" x14ac:dyDescent="0.3">
      <c r="A54" s="154">
        <v>49</v>
      </c>
      <c r="B54" s="78"/>
      <c r="C54" s="78"/>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c r="CC54" s="78"/>
      <c r="CD54" s="78"/>
      <c r="CE54" s="150">
        <f t="shared" si="3"/>
        <v>0</v>
      </c>
      <c r="CG54" s="125">
        <v>49</v>
      </c>
      <c r="CH54" s="13">
        <f>IF(SUM(C54:J54)=0,0,SUMPRODUCT(C54:I54,TheModel!$G$28:$M$28)/SUM(C54:I54))</f>
        <v>0</v>
      </c>
      <c r="CI54" s="13">
        <f>IF(SUM(K54:R54)=0,0,TheModel!$G$29)</f>
        <v>0</v>
      </c>
      <c r="CJ54" s="13">
        <f>IF(SUM(S54:Z54)=0,0,SUMPRODUCT(S54:Y54,TheModel!$G$30:$M$30)/SUM(S54:Y54))</f>
        <v>0</v>
      </c>
      <c r="CK54" s="151">
        <f>IF(SUM(AA54:AH54)=0,0,TheModel!$G$31)</f>
        <v>0</v>
      </c>
      <c r="CL54" s="151">
        <f>IF(SUM(AI54:AP54)=0,0,TheModel!$G$32)</f>
        <v>0</v>
      </c>
      <c r="CM54" s="13">
        <f>IF(SUM(AQ54:AX54)=0,0,SUMPRODUCT(AQ54:AW54,TheModel!$G$33:$M$33)/SUM(AQ54:AW54))</f>
        <v>0</v>
      </c>
      <c r="CN54" s="13">
        <f>IF(SUM(AY54:BF54)=0,0,SUMPRODUCT(AY54:BE54,TheModel!$G$34:$M$34)/SUM(AY54:BE54))</f>
        <v>0</v>
      </c>
      <c r="CO54" s="151">
        <f>IF(SUM(BG54:BN54)=0,0,TheModel!$J$35)</f>
        <v>0</v>
      </c>
      <c r="CP54" s="151">
        <f>IF(SUM(BO54:BV54)=0,0,TheModel!$J$35)</f>
        <v>0</v>
      </c>
      <c r="CQ54" s="151">
        <f>IF(SUM(BW54:CD54)=0,0,TheModel!$J$35)</f>
        <v>0</v>
      </c>
      <c r="CS54" s="225" t="e">
        <f t="array" ref="CS54">SUM(C54:I54*CN_PER)/SUM(C54:I54)</f>
        <v>#DIV/0!</v>
      </c>
      <c r="CT54" s="126" t="e">
        <f t="array" ref="CT54">SUM(AY54:BE54*CN_PER)/SUM(AY54:BE54)</f>
        <v>#DIV/0!</v>
      </c>
      <c r="CU54" s="225" t="e">
        <f t="array" ref="CU54">SUM(S54:Y54*CN_TCP)/SUM(S54:Y54)</f>
        <v>#DIV/0!</v>
      </c>
      <c r="CV54" s="126" t="e">
        <f t="array" ref="CV54">SUM(S54:Y54*CN_FOS)/SUM(S54:Y54)</f>
        <v>#DIV/0!</v>
      </c>
    </row>
    <row r="55" spans="1:100" ht="15.75" thickBot="1" x14ac:dyDescent="0.3">
      <c r="A55" s="154">
        <v>50</v>
      </c>
      <c r="B55" s="78"/>
      <c r="C55" s="78"/>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150">
        <f t="shared" si="3"/>
        <v>0</v>
      </c>
      <c r="CG55" s="125">
        <v>50</v>
      </c>
      <c r="CH55" s="13">
        <f>IF(SUM(C55:J55)=0,0,SUMPRODUCT(C55:I55,TheModel!$G$28:$M$28)/SUM(C55:I55))</f>
        <v>0</v>
      </c>
      <c r="CI55" s="13">
        <f>IF(SUM(K55:R55)=0,0,TheModel!$G$29)</f>
        <v>0</v>
      </c>
      <c r="CJ55" s="13">
        <f>IF(SUM(S55:Z55)=0,0,SUMPRODUCT(S55:Y55,TheModel!$G$30:$M$30)/SUM(S55:Y55))</f>
        <v>0</v>
      </c>
      <c r="CK55" s="151">
        <f>IF(SUM(AA55:AH55)=0,0,TheModel!$G$31)</f>
        <v>0</v>
      </c>
      <c r="CL55" s="151">
        <f>IF(SUM(AI55:AP55)=0,0,TheModel!$G$32)</f>
        <v>0</v>
      </c>
      <c r="CM55" s="13">
        <f>IF(SUM(AQ55:AX55)=0,0,SUMPRODUCT(AQ55:AW55,TheModel!$G$33:$M$33)/SUM(AQ55:AW55))</f>
        <v>0</v>
      </c>
      <c r="CN55" s="13">
        <f>IF(SUM(AY55:BF55)=0,0,SUMPRODUCT(AY55:BE55,TheModel!$G$34:$M$34)/SUM(AY55:BE55))</f>
        <v>0</v>
      </c>
      <c r="CO55" s="151">
        <f>IF(SUM(BG55:BN55)=0,0,TheModel!$J$35)</f>
        <v>0</v>
      </c>
      <c r="CP55" s="151">
        <f>IF(SUM(BO55:BV55)=0,0,TheModel!$J$35)</f>
        <v>0</v>
      </c>
      <c r="CQ55" s="151">
        <f>IF(SUM(BW55:CD55)=0,0,TheModel!$J$35)</f>
        <v>0</v>
      </c>
      <c r="CS55" s="225" t="e">
        <f t="array" ref="CS55">SUM(C55:I55*CN_PER)/SUM(C55:I55)</f>
        <v>#DIV/0!</v>
      </c>
      <c r="CT55" s="126" t="e">
        <f t="array" ref="CT55">SUM(AY55:BE55*CN_PER)/SUM(AY55:BE55)</f>
        <v>#DIV/0!</v>
      </c>
      <c r="CU55" s="225" t="e">
        <f t="array" ref="CU55">SUM(S55:Y55*CN_TCP)/SUM(S55:Y55)</f>
        <v>#DIV/0!</v>
      </c>
      <c r="CV55" s="126" t="e">
        <f t="array" ref="CV55">SUM(S55:Y55*CN_FOS)/SUM(S55:Y55)</f>
        <v>#DIV/0!</v>
      </c>
    </row>
    <row r="56" spans="1:100" ht="15.75" thickBot="1" x14ac:dyDescent="0.3">
      <c r="A56" s="154">
        <v>51</v>
      </c>
      <c r="B56" s="78"/>
      <c r="C56" s="78"/>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78"/>
      <c r="CD56" s="78"/>
      <c r="CE56" s="150">
        <f t="shared" si="3"/>
        <v>0</v>
      </c>
      <c r="CG56" s="125">
        <v>51</v>
      </c>
      <c r="CH56" s="13">
        <f>IF(SUM(C56:J56)=0,0,SUMPRODUCT(C56:I56,TheModel!$G$28:$M$28)/SUM(C56:I56))</f>
        <v>0</v>
      </c>
      <c r="CI56" s="13">
        <f>IF(SUM(K56:R56)=0,0,TheModel!$G$29)</f>
        <v>0</v>
      </c>
      <c r="CJ56" s="13">
        <f>IF(SUM(S56:Z56)=0,0,SUMPRODUCT(S56:Y56,TheModel!$G$30:$M$30)/SUM(S56:Y56))</f>
        <v>0</v>
      </c>
      <c r="CK56" s="151">
        <f>IF(SUM(AA56:AH56)=0,0,TheModel!$G$31)</f>
        <v>0</v>
      </c>
      <c r="CL56" s="151">
        <f>IF(SUM(AI56:AP56)=0,0,TheModel!$G$32)</f>
        <v>0</v>
      </c>
      <c r="CM56" s="13">
        <f>IF(SUM(AQ56:AX56)=0,0,SUMPRODUCT(AQ56:AW56,TheModel!$G$33:$M$33)/SUM(AQ56:AW56))</f>
        <v>0</v>
      </c>
      <c r="CN56" s="13">
        <f>IF(SUM(AY56:BF56)=0,0,SUMPRODUCT(AY56:BE56,TheModel!$G$34:$M$34)/SUM(AY56:BE56))</f>
        <v>0</v>
      </c>
      <c r="CO56" s="151">
        <f>IF(SUM(BG56:BN56)=0,0,TheModel!$J$35)</f>
        <v>0</v>
      </c>
      <c r="CP56" s="151">
        <f>IF(SUM(BO56:BV56)=0,0,TheModel!$J$35)</f>
        <v>0</v>
      </c>
      <c r="CQ56" s="151">
        <f>IF(SUM(BW56:CD56)=0,0,TheModel!$J$35)</f>
        <v>0</v>
      </c>
      <c r="CS56" s="225" t="e">
        <f t="array" ref="CS56">SUM(C56:I56*CN_PER)/SUM(C56:I56)</f>
        <v>#DIV/0!</v>
      </c>
      <c r="CT56" s="126" t="e">
        <f t="array" ref="CT56">SUM(AY56:BE56*CN_PER)/SUM(AY56:BE56)</f>
        <v>#DIV/0!</v>
      </c>
      <c r="CU56" s="225" t="e">
        <f t="array" ref="CU56">SUM(S56:Y56*CN_TCP)/SUM(S56:Y56)</f>
        <v>#DIV/0!</v>
      </c>
      <c r="CV56" s="126" t="e">
        <f t="array" ref="CV56">SUM(S56:Y56*CN_FOS)/SUM(S56:Y56)</f>
        <v>#DIV/0!</v>
      </c>
    </row>
    <row r="57" spans="1:100" ht="15.75" thickBot="1" x14ac:dyDescent="0.3">
      <c r="A57" s="154">
        <v>52</v>
      </c>
      <c r="B57" s="78"/>
      <c r="C57" s="78"/>
      <c r="D57" s="7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c r="CC57" s="78"/>
      <c r="CD57" s="78"/>
      <c r="CE57" s="150">
        <f t="shared" si="3"/>
        <v>0</v>
      </c>
      <c r="CG57" s="125">
        <v>52</v>
      </c>
      <c r="CH57" s="13">
        <f>IF(SUM(C57:J57)=0,0,SUMPRODUCT(C57:I57,TheModel!$G$28:$M$28)/SUM(C57:I57))</f>
        <v>0</v>
      </c>
      <c r="CI57" s="13">
        <f>IF(SUM(K57:R57)=0,0,TheModel!$G$29)</f>
        <v>0</v>
      </c>
      <c r="CJ57" s="13">
        <f>IF(SUM(S57:Z57)=0,0,SUMPRODUCT(S57:Y57,TheModel!$G$30:$M$30)/SUM(S57:Y57))</f>
        <v>0</v>
      </c>
      <c r="CK57" s="151">
        <f>IF(SUM(AA57:AH57)=0,0,TheModel!$G$31)</f>
        <v>0</v>
      </c>
      <c r="CL57" s="151">
        <f>IF(SUM(AI57:AP57)=0,0,TheModel!$G$32)</f>
        <v>0</v>
      </c>
      <c r="CM57" s="13">
        <f>IF(SUM(AQ57:AX57)=0,0,SUMPRODUCT(AQ57:AW57,TheModel!$G$33:$M$33)/SUM(AQ57:AW57))</f>
        <v>0</v>
      </c>
      <c r="CN57" s="13">
        <f>IF(SUM(AY57:BF57)=0,0,SUMPRODUCT(AY57:BE57,TheModel!$G$34:$M$34)/SUM(AY57:BE57))</f>
        <v>0</v>
      </c>
      <c r="CO57" s="151">
        <f>IF(SUM(BG57:BN57)=0,0,TheModel!$J$35)</f>
        <v>0</v>
      </c>
      <c r="CP57" s="151">
        <f>IF(SUM(BO57:BV57)=0,0,TheModel!$J$35)</f>
        <v>0</v>
      </c>
      <c r="CQ57" s="151">
        <f>IF(SUM(BW57:CD57)=0,0,TheModel!$J$35)</f>
        <v>0</v>
      </c>
      <c r="CS57" s="225" t="e">
        <f t="array" ref="CS57">SUM(C57:I57*CN_PER)/SUM(C57:I57)</f>
        <v>#DIV/0!</v>
      </c>
      <c r="CT57" s="126" t="e">
        <f t="array" ref="CT57">SUM(AY57:BE57*CN_PER)/SUM(AY57:BE57)</f>
        <v>#DIV/0!</v>
      </c>
      <c r="CU57" s="225" t="e">
        <f t="array" ref="CU57">SUM(S57:Y57*CN_TCP)/SUM(S57:Y57)</f>
        <v>#DIV/0!</v>
      </c>
      <c r="CV57" s="126" t="e">
        <f t="array" ref="CV57">SUM(S57:Y57*CN_FOS)/SUM(S57:Y57)</f>
        <v>#DIV/0!</v>
      </c>
    </row>
    <row r="58" spans="1:100" ht="15.75" thickBot="1" x14ac:dyDescent="0.3">
      <c r="A58" s="154">
        <v>53</v>
      </c>
      <c r="B58" s="78"/>
      <c r="C58" s="78"/>
      <c r="D58" s="78"/>
      <c r="E58" s="78"/>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c r="CC58" s="78"/>
      <c r="CD58" s="78"/>
      <c r="CE58" s="150">
        <f t="shared" si="3"/>
        <v>0</v>
      </c>
      <c r="CG58" s="125">
        <v>53</v>
      </c>
      <c r="CH58" s="13">
        <f>IF(SUM(C58:J58)=0,0,SUMPRODUCT(C58:I58,TheModel!$G$28:$M$28)/SUM(C58:I58))</f>
        <v>0</v>
      </c>
      <c r="CI58" s="13">
        <f>IF(SUM(K58:R58)=0,0,TheModel!$G$29)</f>
        <v>0</v>
      </c>
      <c r="CJ58" s="13">
        <f>IF(SUM(S58:Z58)=0,0,SUMPRODUCT(S58:Y58,TheModel!$G$30:$M$30)/SUM(S58:Y58))</f>
        <v>0</v>
      </c>
      <c r="CK58" s="151">
        <f>IF(SUM(AA58:AH58)=0,0,TheModel!$G$31)</f>
        <v>0</v>
      </c>
      <c r="CL58" s="151">
        <f>IF(SUM(AI58:AP58)=0,0,TheModel!$G$32)</f>
        <v>0</v>
      </c>
      <c r="CM58" s="13">
        <f>IF(SUM(AQ58:AX58)=0,0,SUMPRODUCT(AQ58:AW58,TheModel!$G$33:$M$33)/SUM(AQ58:AW58))</f>
        <v>0</v>
      </c>
      <c r="CN58" s="13">
        <f>IF(SUM(AY58:BF58)=0,0,SUMPRODUCT(AY58:BE58,TheModel!$G$34:$M$34)/SUM(AY58:BE58))</f>
        <v>0</v>
      </c>
      <c r="CO58" s="151">
        <f>IF(SUM(BG58:BN58)=0,0,TheModel!$J$35)</f>
        <v>0</v>
      </c>
      <c r="CP58" s="151">
        <f>IF(SUM(BO58:BV58)=0,0,TheModel!$J$35)</f>
        <v>0</v>
      </c>
      <c r="CQ58" s="151">
        <f>IF(SUM(BW58:CD58)=0,0,TheModel!$J$35)</f>
        <v>0</v>
      </c>
      <c r="CS58" s="225" t="e">
        <f t="array" ref="CS58">SUM(C58:I58*CN_PER)/SUM(C58:I58)</f>
        <v>#DIV/0!</v>
      </c>
      <c r="CT58" s="126" t="e">
        <f t="array" ref="CT58">SUM(AY58:BE58*CN_PER)/SUM(AY58:BE58)</f>
        <v>#DIV/0!</v>
      </c>
      <c r="CU58" s="225" t="e">
        <f t="array" ref="CU58">SUM(S58:Y58*CN_TCP)/SUM(S58:Y58)</f>
        <v>#DIV/0!</v>
      </c>
      <c r="CV58" s="126" t="e">
        <f t="array" ref="CV58">SUM(S58:Y58*CN_FOS)/SUM(S58:Y58)</f>
        <v>#DIV/0!</v>
      </c>
    </row>
    <row r="59" spans="1:100" ht="15.75" thickBot="1" x14ac:dyDescent="0.3">
      <c r="A59" s="154">
        <v>54</v>
      </c>
      <c r="B59" s="78"/>
      <c r="C59" s="78"/>
      <c r="D59" s="78"/>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c r="CC59" s="78"/>
      <c r="CD59" s="78"/>
      <c r="CE59" s="150">
        <f t="shared" si="3"/>
        <v>0</v>
      </c>
      <c r="CG59" s="125">
        <v>54</v>
      </c>
      <c r="CH59" s="13">
        <f>IF(SUM(C59:J59)=0,0,SUMPRODUCT(C59:I59,TheModel!$G$28:$M$28)/SUM(C59:I59))</f>
        <v>0</v>
      </c>
      <c r="CI59" s="13">
        <f>IF(SUM(K59:R59)=0,0,TheModel!$G$29)</f>
        <v>0</v>
      </c>
      <c r="CJ59" s="13">
        <f>IF(SUM(S59:Z59)=0,0,SUMPRODUCT(S59:Y59,TheModel!$G$30:$M$30)/SUM(S59:Y59))</f>
        <v>0</v>
      </c>
      <c r="CK59" s="151">
        <f>IF(SUM(AA59:AH59)=0,0,TheModel!$G$31)</f>
        <v>0</v>
      </c>
      <c r="CL59" s="151">
        <f>IF(SUM(AI59:AP59)=0,0,TheModel!$G$32)</f>
        <v>0</v>
      </c>
      <c r="CM59" s="13">
        <f>IF(SUM(AQ59:AX59)=0,0,SUMPRODUCT(AQ59:AW59,TheModel!$G$33:$M$33)/SUM(AQ59:AW59))</f>
        <v>0</v>
      </c>
      <c r="CN59" s="13">
        <f>IF(SUM(AY59:BF59)=0,0,SUMPRODUCT(AY59:BE59,TheModel!$G$34:$M$34)/SUM(AY59:BE59))</f>
        <v>0</v>
      </c>
      <c r="CO59" s="151">
        <f>IF(SUM(BG59:BN59)=0,0,TheModel!$J$35)</f>
        <v>0</v>
      </c>
      <c r="CP59" s="151">
        <f>IF(SUM(BO59:BV59)=0,0,TheModel!$J$35)</f>
        <v>0</v>
      </c>
      <c r="CQ59" s="151">
        <f>IF(SUM(BW59:CD59)=0,0,TheModel!$J$35)</f>
        <v>0</v>
      </c>
      <c r="CS59" s="225" t="e">
        <f t="array" ref="CS59">SUM(C59:I59*CN_PER)/SUM(C59:I59)</f>
        <v>#DIV/0!</v>
      </c>
      <c r="CT59" s="126" t="e">
        <f t="array" ref="CT59">SUM(AY59:BE59*CN_PER)/SUM(AY59:BE59)</f>
        <v>#DIV/0!</v>
      </c>
      <c r="CU59" s="225" t="e">
        <f t="array" ref="CU59">SUM(S59:Y59*CN_TCP)/SUM(S59:Y59)</f>
        <v>#DIV/0!</v>
      </c>
      <c r="CV59" s="126" t="e">
        <f t="array" ref="CV59">SUM(S59:Y59*CN_FOS)/SUM(S59:Y59)</f>
        <v>#DIV/0!</v>
      </c>
    </row>
    <row r="60" spans="1:100" ht="15.75" thickBot="1" x14ac:dyDescent="0.3">
      <c r="A60" s="154">
        <v>55</v>
      </c>
      <c r="B60" s="78"/>
      <c r="C60" s="78"/>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c r="CC60" s="78"/>
      <c r="CD60" s="78"/>
      <c r="CE60" s="150">
        <f t="shared" si="3"/>
        <v>0</v>
      </c>
      <c r="CG60" s="125">
        <v>55</v>
      </c>
      <c r="CH60" s="13">
        <f>IF(SUM(C60:J60)=0,0,SUMPRODUCT(C60:I60,TheModel!$G$28:$M$28)/SUM(C60:I60))</f>
        <v>0</v>
      </c>
      <c r="CI60" s="13">
        <f>IF(SUM(K60:R60)=0,0,TheModel!$G$29)</f>
        <v>0</v>
      </c>
      <c r="CJ60" s="13">
        <f>IF(SUM(S60:Z60)=0,0,SUMPRODUCT(S60:Y60,TheModel!$G$30:$M$30)/SUM(S60:Y60))</f>
        <v>0</v>
      </c>
      <c r="CK60" s="151">
        <f>IF(SUM(AA60:AH60)=0,0,TheModel!$G$31)</f>
        <v>0</v>
      </c>
      <c r="CL60" s="151">
        <f>IF(SUM(AI60:AP60)=0,0,TheModel!$G$32)</f>
        <v>0</v>
      </c>
      <c r="CM60" s="13">
        <f>IF(SUM(AQ60:AX60)=0,0,SUMPRODUCT(AQ60:AW60,TheModel!$G$33:$M$33)/SUM(AQ60:AW60))</f>
        <v>0</v>
      </c>
      <c r="CN60" s="13">
        <f>IF(SUM(AY60:BF60)=0,0,SUMPRODUCT(AY60:BE60,TheModel!$G$34:$M$34)/SUM(AY60:BE60))</f>
        <v>0</v>
      </c>
      <c r="CO60" s="151">
        <f>IF(SUM(BG60:BN60)=0,0,TheModel!$J$35)</f>
        <v>0</v>
      </c>
      <c r="CP60" s="151">
        <f>IF(SUM(BO60:BV60)=0,0,TheModel!$J$35)</f>
        <v>0</v>
      </c>
      <c r="CQ60" s="151">
        <f>IF(SUM(BW60:CD60)=0,0,TheModel!$J$35)</f>
        <v>0</v>
      </c>
      <c r="CS60" s="225" t="e">
        <f t="array" ref="CS60">SUM(C60:I60*CN_PER)/SUM(C60:I60)</f>
        <v>#DIV/0!</v>
      </c>
      <c r="CT60" s="126" t="e">
        <f t="array" ref="CT60">SUM(AY60:BE60*CN_PER)/SUM(AY60:BE60)</f>
        <v>#DIV/0!</v>
      </c>
      <c r="CU60" s="225" t="e">
        <f t="array" ref="CU60">SUM(S60:Y60*CN_TCP)/SUM(S60:Y60)</f>
        <v>#DIV/0!</v>
      </c>
      <c r="CV60" s="126" t="e">
        <f t="array" ref="CV60">SUM(S60:Y60*CN_FOS)/SUM(S60:Y60)</f>
        <v>#DIV/0!</v>
      </c>
    </row>
    <row r="61" spans="1:100" ht="15.75" thickBot="1" x14ac:dyDescent="0.3">
      <c r="A61" s="154">
        <v>56</v>
      </c>
      <c r="B61" s="78"/>
      <c r="C61" s="78"/>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c r="CC61" s="78"/>
      <c r="CD61" s="78"/>
      <c r="CE61" s="150">
        <f t="shared" si="3"/>
        <v>0</v>
      </c>
      <c r="CG61" s="125">
        <v>56</v>
      </c>
      <c r="CH61" s="13">
        <f>IF(SUM(C61:J61)=0,0,SUMPRODUCT(C61:I61,TheModel!$G$28:$M$28)/SUM(C61:I61))</f>
        <v>0</v>
      </c>
      <c r="CI61" s="13">
        <f>IF(SUM(K61:R61)=0,0,TheModel!$G$29)</f>
        <v>0</v>
      </c>
      <c r="CJ61" s="13">
        <f>IF(SUM(S61:Z61)=0,0,SUMPRODUCT(S61:Y61,TheModel!$G$30:$M$30)/SUM(S61:Y61))</f>
        <v>0</v>
      </c>
      <c r="CK61" s="151">
        <f>IF(SUM(AA61:AH61)=0,0,TheModel!$G$31)</f>
        <v>0</v>
      </c>
      <c r="CL61" s="151">
        <f>IF(SUM(AI61:AP61)=0,0,TheModel!$G$32)</f>
        <v>0</v>
      </c>
      <c r="CM61" s="13">
        <f>IF(SUM(AQ61:AX61)=0,0,SUMPRODUCT(AQ61:AW61,TheModel!$G$33:$M$33)/SUM(AQ61:AW61))</f>
        <v>0</v>
      </c>
      <c r="CN61" s="13">
        <f>IF(SUM(AY61:BF61)=0,0,SUMPRODUCT(AY61:BE61,TheModel!$G$34:$M$34)/SUM(AY61:BE61))</f>
        <v>0</v>
      </c>
      <c r="CO61" s="151">
        <f>IF(SUM(BG61:BN61)=0,0,TheModel!$J$35)</f>
        <v>0</v>
      </c>
      <c r="CP61" s="151">
        <f>IF(SUM(BO61:BV61)=0,0,TheModel!$J$35)</f>
        <v>0</v>
      </c>
      <c r="CQ61" s="151">
        <f>IF(SUM(BW61:CD61)=0,0,TheModel!$J$35)</f>
        <v>0</v>
      </c>
      <c r="CS61" s="225" t="e">
        <f t="array" ref="CS61">SUM(C61:I61*CN_PER)/SUM(C61:I61)</f>
        <v>#DIV/0!</v>
      </c>
      <c r="CT61" s="126" t="e">
        <f t="array" ref="CT61">SUM(AY61:BE61*CN_PER)/SUM(AY61:BE61)</f>
        <v>#DIV/0!</v>
      </c>
      <c r="CU61" s="225" t="e">
        <f t="array" ref="CU61">SUM(S61:Y61*CN_TCP)/SUM(S61:Y61)</f>
        <v>#DIV/0!</v>
      </c>
      <c r="CV61" s="126" t="e">
        <f t="array" ref="CV61">SUM(S61:Y61*CN_FOS)/SUM(S61:Y61)</f>
        <v>#DIV/0!</v>
      </c>
    </row>
    <row r="62" spans="1:100" ht="15.75" thickBot="1" x14ac:dyDescent="0.3">
      <c r="A62" s="154">
        <v>57</v>
      </c>
      <c r="B62" s="78"/>
      <c r="C62" s="78"/>
      <c r="D62" s="78"/>
      <c r="E62" s="78"/>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c r="CC62" s="78"/>
      <c r="CD62" s="78"/>
      <c r="CE62" s="150">
        <f t="shared" si="3"/>
        <v>0</v>
      </c>
      <c r="CG62" s="125">
        <v>57</v>
      </c>
      <c r="CH62" s="13">
        <f>IF(SUM(C62:J62)=0,0,SUMPRODUCT(C62:I62,TheModel!$G$28:$M$28)/SUM(C62:I62))</f>
        <v>0</v>
      </c>
      <c r="CI62" s="13">
        <f>IF(SUM(K62:R62)=0,0,TheModel!$G$29)</f>
        <v>0</v>
      </c>
      <c r="CJ62" s="13">
        <f>IF(SUM(S62:Z62)=0,0,SUMPRODUCT(S62:Y62,TheModel!$G$30:$M$30)/SUM(S62:Y62))</f>
        <v>0</v>
      </c>
      <c r="CK62" s="151">
        <f>IF(SUM(AA62:AH62)=0,0,TheModel!$G$31)</f>
        <v>0</v>
      </c>
      <c r="CL62" s="151">
        <f>IF(SUM(AI62:AP62)=0,0,TheModel!$G$32)</f>
        <v>0</v>
      </c>
      <c r="CM62" s="13">
        <f>IF(SUM(AQ62:AX62)=0,0,SUMPRODUCT(AQ62:AW62,TheModel!$G$33:$M$33)/SUM(AQ62:AW62))</f>
        <v>0</v>
      </c>
      <c r="CN62" s="13">
        <f>IF(SUM(AY62:BF62)=0,0,SUMPRODUCT(AY62:BE62,TheModel!$G$34:$M$34)/SUM(AY62:BE62))</f>
        <v>0</v>
      </c>
      <c r="CO62" s="151">
        <f>IF(SUM(BG62:BN62)=0,0,TheModel!$J$35)</f>
        <v>0</v>
      </c>
      <c r="CP62" s="151">
        <f>IF(SUM(BO62:BV62)=0,0,TheModel!$J$35)</f>
        <v>0</v>
      </c>
      <c r="CQ62" s="151">
        <f>IF(SUM(BW62:CD62)=0,0,TheModel!$J$35)</f>
        <v>0</v>
      </c>
      <c r="CS62" s="225" t="e">
        <f t="array" ref="CS62">SUM(C62:I62*CN_PER)/SUM(C62:I62)</f>
        <v>#DIV/0!</v>
      </c>
      <c r="CT62" s="126" t="e">
        <f t="array" ref="CT62">SUM(AY62:BE62*CN_PER)/SUM(AY62:BE62)</f>
        <v>#DIV/0!</v>
      </c>
      <c r="CU62" s="225" t="e">
        <f t="array" ref="CU62">SUM(S62:Y62*CN_TCP)/SUM(S62:Y62)</f>
        <v>#DIV/0!</v>
      </c>
      <c r="CV62" s="126" t="e">
        <f t="array" ref="CV62">SUM(S62:Y62*CN_FOS)/SUM(S62:Y62)</f>
        <v>#DIV/0!</v>
      </c>
    </row>
    <row r="63" spans="1:100" ht="15.75" thickBot="1" x14ac:dyDescent="0.3">
      <c r="A63" s="154">
        <v>58</v>
      </c>
      <c r="B63" s="78"/>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c r="CC63" s="78"/>
      <c r="CD63" s="78"/>
      <c r="CE63" s="150">
        <f t="shared" si="3"/>
        <v>0</v>
      </c>
      <c r="CG63" s="125">
        <v>58</v>
      </c>
      <c r="CH63" s="13">
        <f>IF(SUM(C63:J63)=0,0,SUMPRODUCT(C63:I63,TheModel!$G$28:$M$28)/SUM(C63:I63))</f>
        <v>0</v>
      </c>
      <c r="CI63" s="13">
        <f>IF(SUM(K63:R63)=0,0,TheModel!$G$29)</f>
        <v>0</v>
      </c>
      <c r="CJ63" s="13">
        <f>IF(SUM(S63:Z63)=0,0,SUMPRODUCT(S63:Y63,TheModel!$G$30:$M$30)/SUM(S63:Y63))</f>
        <v>0</v>
      </c>
      <c r="CK63" s="151">
        <f>IF(SUM(AA63:AH63)=0,0,TheModel!$G$31)</f>
        <v>0</v>
      </c>
      <c r="CL63" s="151">
        <f>IF(SUM(AI63:AP63)=0,0,TheModel!$G$32)</f>
        <v>0</v>
      </c>
      <c r="CM63" s="13">
        <f>IF(SUM(AQ63:AX63)=0,0,SUMPRODUCT(AQ63:AW63,TheModel!$G$33:$M$33)/SUM(AQ63:AW63))</f>
        <v>0</v>
      </c>
      <c r="CN63" s="13">
        <f>IF(SUM(AY63:BF63)=0,0,SUMPRODUCT(AY63:BE63,TheModel!$G$34:$M$34)/SUM(AY63:BE63))</f>
        <v>0</v>
      </c>
      <c r="CO63" s="151">
        <f>IF(SUM(BG63:BN63)=0,0,TheModel!$J$35)</f>
        <v>0</v>
      </c>
      <c r="CP63" s="151">
        <f>IF(SUM(BO63:BV63)=0,0,TheModel!$J$35)</f>
        <v>0</v>
      </c>
      <c r="CQ63" s="151">
        <f>IF(SUM(BW63:CD63)=0,0,TheModel!$J$35)</f>
        <v>0</v>
      </c>
      <c r="CS63" s="225" t="e">
        <f t="array" ref="CS63">SUM(C63:I63*CN_PER)/SUM(C63:I63)</f>
        <v>#DIV/0!</v>
      </c>
      <c r="CT63" s="126" t="e">
        <f t="array" ref="CT63">SUM(AY63:BE63*CN_PER)/SUM(AY63:BE63)</f>
        <v>#DIV/0!</v>
      </c>
      <c r="CU63" s="225" t="e">
        <f t="array" ref="CU63">SUM(S63:Y63*CN_TCP)/SUM(S63:Y63)</f>
        <v>#DIV/0!</v>
      </c>
      <c r="CV63" s="126" t="e">
        <f t="array" ref="CV63">SUM(S63:Y63*CN_FOS)/SUM(S63:Y63)</f>
        <v>#DIV/0!</v>
      </c>
    </row>
    <row r="64" spans="1:100" ht="15.75" thickBot="1" x14ac:dyDescent="0.3">
      <c r="A64" s="154">
        <v>59</v>
      </c>
      <c r="B64" s="78"/>
      <c r="C64" s="78"/>
      <c r="D64" s="78"/>
      <c r="E64" s="78"/>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c r="CB64" s="78"/>
      <c r="CC64" s="78"/>
      <c r="CD64" s="78"/>
      <c r="CE64" s="150">
        <f t="shared" si="3"/>
        <v>0</v>
      </c>
      <c r="CG64" s="125">
        <v>59</v>
      </c>
      <c r="CH64" s="13">
        <f>IF(SUM(C64:J64)=0,0,SUMPRODUCT(C64:I64,TheModel!$G$28:$M$28)/SUM(C64:I64))</f>
        <v>0</v>
      </c>
      <c r="CI64" s="13">
        <f>IF(SUM(K64:R64)=0,0,TheModel!$G$29)</f>
        <v>0</v>
      </c>
      <c r="CJ64" s="13">
        <f>IF(SUM(S64:Z64)=0,0,SUMPRODUCT(S64:Y64,TheModel!$G$30:$M$30)/SUM(S64:Y64))</f>
        <v>0</v>
      </c>
      <c r="CK64" s="151">
        <f>IF(SUM(AA64:AH64)=0,0,TheModel!$G$31)</f>
        <v>0</v>
      </c>
      <c r="CL64" s="151">
        <f>IF(SUM(AI64:AP64)=0,0,TheModel!$G$32)</f>
        <v>0</v>
      </c>
      <c r="CM64" s="13">
        <f>IF(SUM(AQ64:AX64)=0,0,SUMPRODUCT(AQ64:AW64,TheModel!$G$33:$M$33)/SUM(AQ64:AW64))</f>
        <v>0</v>
      </c>
      <c r="CN64" s="13">
        <f>IF(SUM(AY64:BF64)=0,0,SUMPRODUCT(AY64:BE64,TheModel!$G$34:$M$34)/SUM(AY64:BE64))</f>
        <v>0</v>
      </c>
      <c r="CO64" s="151">
        <f>IF(SUM(BG64:BN64)=0,0,TheModel!$J$35)</f>
        <v>0</v>
      </c>
      <c r="CP64" s="151">
        <f>IF(SUM(BO64:BV64)=0,0,TheModel!$J$35)</f>
        <v>0</v>
      </c>
      <c r="CQ64" s="151">
        <f>IF(SUM(BW64:CD64)=0,0,TheModel!$J$35)</f>
        <v>0</v>
      </c>
      <c r="CS64" s="225" t="e">
        <f t="array" ref="CS64">SUM(C64:I64*CN_PER)/SUM(C64:I64)</f>
        <v>#DIV/0!</v>
      </c>
      <c r="CT64" s="126" t="e">
        <f t="array" ref="CT64">SUM(AY64:BE64*CN_PER)/SUM(AY64:BE64)</f>
        <v>#DIV/0!</v>
      </c>
      <c r="CU64" s="225" t="e">
        <f t="array" ref="CU64">SUM(S64:Y64*CN_TCP)/SUM(S64:Y64)</f>
        <v>#DIV/0!</v>
      </c>
      <c r="CV64" s="126" t="e">
        <f t="array" ref="CV64">SUM(S64:Y64*CN_FOS)/SUM(S64:Y64)</f>
        <v>#DIV/0!</v>
      </c>
    </row>
    <row r="65" spans="1:100" ht="15.75" thickBot="1" x14ac:dyDescent="0.3">
      <c r="A65" s="154">
        <v>60</v>
      </c>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150">
        <f t="shared" si="3"/>
        <v>0</v>
      </c>
      <c r="CG65" s="125">
        <v>60</v>
      </c>
      <c r="CH65" s="13">
        <f>IF(SUM(C65:J65)=0,0,SUMPRODUCT(C65:I65,TheModel!$G$28:$M$28)/SUM(C65:I65))</f>
        <v>0</v>
      </c>
      <c r="CI65" s="13">
        <f>IF(SUM(K65:R65)=0,0,TheModel!$G$29)</f>
        <v>0</v>
      </c>
      <c r="CJ65" s="13">
        <f>IF(SUM(S65:Z65)=0,0,SUMPRODUCT(S65:Y65,TheModel!$G$30:$M$30)/SUM(S65:Y65))</f>
        <v>0</v>
      </c>
      <c r="CK65" s="151">
        <f>IF(SUM(AA65:AH65)=0,0,TheModel!$G$31)</f>
        <v>0</v>
      </c>
      <c r="CL65" s="151">
        <f>IF(SUM(AI65:AP65)=0,0,TheModel!$G$32)</f>
        <v>0</v>
      </c>
      <c r="CM65" s="13">
        <f>IF(SUM(AQ65:AX65)=0,0,SUMPRODUCT(AQ65:AW65,TheModel!$G$33:$M$33)/SUM(AQ65:AW65))</f>
        <v>0</v>
      </c>
      <c r="CN65" s="13">
        <f>IF(SUM(AY65:BF65)=0,0,SUMPRODUCT(AY65:BE65,TheModel!$G$34:$M$34)/SUM(AY65:BE65))</f>
        <v>0</v>
      </c>
      <c r="CO65" s="151">
        <f>IF(SUM(BG65:BN65)=0,0,TheModel!$J$35)</f>
        <v>0</v>
      </c>
      <c r="CP65" s="151">
        <f>IF(SUM(BO65:BV65)=0,0,TheModel!$J$35)</f>
        <v>0</v>
      </c>
      <c r="CQ65" s="151">
        <f>IF(SUM(BW65:CD65)=0,0,TheModel!$J$35)</f>
        <v>0</v>
      </c>
      <c r="CS65" s="225" t="e">
        <f t="array" ref="CS65">SUM(C65:I65*CN_PER)/SUM(C65:I65)</f>
        <v>#DIV/0!</v>
      </c>
      <c r="CT65" s="126" t="e">
        <f t="array" ref="CT65">SUM(AY65:BE65*CN_PER)/SUM(AY65:BE65)</f>
        <v>#DIV/0!</v>
      </c>
      <c r="CU65" s="225" t="e">
        <f t="array" ref="CU65">SUM(S65:Y65*CN_TCP)/SUM(S65:Y65)</f>
        <v>#DIV/0!</v>
      </c>
      <c r="CV65" s="126" t="e">
        <f t="array" ref="CV65">SUM(S65:Y65*CN_FOS)/SUM(S65:Y65)</f>
        <v>#DIV/0!</v>
      </c>
    </row>
    <row r="66" spans="1:100" ht="15.75" thickBot="1" x14ac:dyDescent="0.3">
      <c r="A66" s="154">
        <v>61</v>
      </c>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D66" s="78"/>
      <c r="BE66" s="78"/>
      <c r="BF66" s="78"/>
      <c r="BG66" s="78"/>
      <c r="BH66" s="78"/>
      <c r="BI66" s="78"/>
      <c r="BJ66" s="78"/>
      <c r="BK66" s="78"/>
      <c r="BL66" s="78"/>
      <c r="BM66" s="78"/>
      <c r="BN66" s="78"/>
      <c r="BO66" s="78"/>
      <c r="BP66" s="78"/>
      <c r="BQ66" s="78"/>
      <c r="BR66" s="78"/>
      <c r="BS66" s="78"/>
      <c r="BT66" s="78"/>
      <c r="BU66" s="78"/>
      <c r="BV66" s="78"/>
      <c r="BW66" s="78"/>
      <c r="BX66" s="78"/>
      <c r="BY66" s="78"/>
      <c r="BZ66" s="78"/>
      <c r="CA66" s="78"/>
      <c r="CB66" s="78"/>
      <c r="CC66" s="78"/>
      <c r="CD66" s="78"/>
      <c r="CE66" s="150">
        <f t="shared" si="3"/>
        <v>0</v>
      </c>
      <c r="CG66" s="125">
        <v>61</v>
      </c>
      <c r="CH66" s="13">
        <f>IF(SUM(C66:J66)=0,0,SUMPRODUCT(C66:I66,TheModel!$G$28:$M$28)/SUM(C66:I66))</f>
        <v>0</v>
      </c>
      <c r="CI66" s="13">
        <f>IF(SUM(K66:R66)=0,0,TheModel!$G$29)</f>
        <v>0</v>
      </c>
      <c r="CJ66" s="13">
        <f>IF(SUM(S66:Z66)=0,0,SUMPRODUCT(S66:Y66,TheModel!$G$30:$M$30)/SUM(S66:Y66))</f>
        <v>0</v>
      </c>
      <c r="CK66" s="151">
        <f>IF(SUM(AA66:AH66)=0,0,TheModel!$G$31)</f>
        <v>0</v>
      </c>
      <c r="CL66" s="151">
        <f>IF(SUM(AI66:AP66)=0,0,TheModel!$G$32)</f>
        <v>0</v>
      </c>
      <c r="CM66" s="13">
        <f>IF(SUM(AQ66:AX66)=0,0,SUMPRODUCT(AQ66:AW66,TheModel!$G$33:$M$33)/SUM(AQ66:AW66))</f>
        <v>0</v>
      </c>
      <c r="CN66" s="13">
        <f>IF(SUM(AY66:BF66)=0,0,SUMPRODUCT(AY66:BE66,TheModel!$G$34:$M$34)/SUM(AY66:BE66))</f>
        <v>0</v>
      </c>
      <c r="CO66" s="151">
        <f>IF(SUM(BG66:BN66)=0,0,TheModel!$J$35)</f>
        <v>0</v>
      </c>
      <c r="CP66" s="151">
        <f>IF(SUM(BO66:BV66)=0,0,TheModel!$J$35)</f>
        <v>0</v>
      </c>
      <c r="CQ66" s="151">
        <f>IF(SUM(BW66:CD66)=0,0,TheModel!$J$35)</f>
        <v>0</v>
      </c>
      <c r="CS66" s="225" t="e">
        <f t="array" ref="CS66">SUM(C66:I66*CN_PER)/SUM(C66:I66)</f>
        <v>#DIV/0!</v>
      </c>
      <c r="CT66" s="126" t="e">
        <f t="array" ref="CT66">SUM(AY66:BE66*CN_PER)/SUM(AY66:BE66)</f>
        <v>#DIV/0!</v>
      </c>
      <c r="CU66" s="225" t="e">
        <f t="array" ref="CU66">SUM(S66:Y66*CN_TCP)/SUM(S66:Y66)</f>
        <v>#DIV/0!</v>
      </c>
      <c r="CV66" s="126" t="e">
        <f t="array" ref="CV66">SUM(S66:Y66*CN_FOS)/SUM(S66:Y66)</f>
        <v>#DIV/0!</v>
      </c>
    </row>
    <row r="67" spans="1:100" ht="15.75" thickBot="1" x14ac:dyDescent="0.3">
      <c r="A67" s="154">
        <v>62</v>
      </c>
      <c r="B67" s="78"/>
      <c r="C67" s="78"/>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c r="BI67" s="78"/>
      <c r="BJ67" s="78"/>
      <c r="BK67" s="78"/>
      <c r="BL67" s="78"/>
      <c r="BM67" s="78"/>
      <c r="BN67" s="78"/>
      <c r="BO67" s="78"/>
      <c r="BP67" s="78"/>
      <c r="BQ67" s="78"/>
      <c r="BR67" s="78"/>
      <c r="BS67" s="78"/>
      <c r="BT67" s="78"/>
      <c r="BU67" s="78"/>
      <c r="BV67" s="78"/>
      <c r="BW67" s="78"/>
      <c r="BX67" s="78"/>
      <c r="BY67" s="78"/>
      <c r="BZ67" s="78"/>
      <c r="CA67" s="78"/>
      <c r="CB67" s="78"/>
      <c r="CC67" s="78"/>
      <c r="CD67" s="78"/>
      <c r="CE67" s="150">
        <f t="shared" si="3"/>
        <v>0</v>
      </c>
      <c r="CG67" s="125">
        <v>62</v>
      </c>
      <c r="CH67" s="13">
        <f>IF(SUM(C67:J67)=0,0,SUMPRODUCT(C67:I67,TheModel!$G$28:$M$28)/SUM(C67:I67))</f>
        <v>0</v>
      </c>
      <c r="CI67" s="13">
        <f>IF(SUM(K67:R67)=0,0,TheModel!$G$29)</f>
        <v>0</v>
      </c>
      <c r="CJ67" s="13">
        <f>IF(SUM(S67:Z67)=0,0,SUMPRODUCT(S67:Y67,TheModel!$G$30:$M$30)/SUM(S67:Y67))</f>
        <v>0</v>
      </c>
      <c r="CK67" s="151">
        <f>IF(SUM(AA67:AH67)=0,0,TheModel!$G$31)</f>
        <v>0</v>
      </c>
      <c r="CL67" s="151">
        <f>IF(SUM(AI67:AP67)=0,0,TheModel!$G$32)</f>
        <v>0</v>
      </c>
      <c r="CM67" s="13">
        <f>IF(SUM(AQ67:AX67)=0,0,SUMPRODUCT(AQ67:AW67,TheModel!$G$33:$M$33)/SUM(AQ67:AW67))</f>
        <v>0</v>
      </c>
      <c r="CN67" s="13">
        <f>IF(SUM(AY67:BF67)=0,0,SUMPRODUCT(AY67:BE67,TheModel!$G$34:$M$34)/SUM(AY67:BE67))</f>
        <v>0</v>
      </c>
      <c r="CO67" s="151">
        <f>IF(SUM(BG67:BN67)=0,0,TheModel!$J$35)</f>
        <v>0</v>
      </c>
      <c r="CP67" s="151">
        <f>IF(SUM(BO67:BV67)=0,0,TheModel!$J$35)</f>
        <v>0</v>
      </c>
      <c r="CQ67" s="151">
        <f>IF(SUM(BW67:CD67)=0,0,TheModel!$J$35)</f>
        <v>0</v>
      </c>
      <c r="CS67" s="225" t="e">
        <f t="array" ref="CS67">SUM(C67:I67*CN_PER)/SUM(C67:I67)</f>
        <v>#DIV/0!</v>
      </c>
      <c r="CT67" s="126" t="e">
        <f t="array" ref="CT67">SUM(AY67:BE67*CN_PER)/SUM(AY67:BE67)</f>
        <v>#DIV/0!</v>
      </c>
      <c r="CU67" s="225" t="e">
        <f t="array" ref="CU67">SUM(S67:Y67*CN_TCP)/SUM(S67:Y67)</f>
        <v>#DIV/0!</v>
      </c>
      <c r="CV67" s="126" t="e">
        <f t="array" ref="CV67">SUM(S67:Y67*CN_FOS)/SUM(S67:Y67)</f>
        <v>#DIV/0!</v>
      </c>
    </row>
    <row r="68" spans="1:100" ht="15.75" thickBot="1" x14ac:dyDescent="0.3">
      <c r="A68" s="154">
        <v>63</v>
      </c>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c r="BS68" s="78"/>
      <c r="BT68" s="78"/>
      <c r="BU68" s="78"/>
      <c r="BV68" s="78"/>
      <c r="BW68" s="78"/>
      <c r="BX68" s="78"/>
      <c r="BY68" s="78"/>
      <c r="BZ68" s="78"/>
      <c r="CA68" s="78"/>
      <c r="CB68" s="78"/>
      <c r="CC68" s="78"/>
      <c r="CD68" s="78"/>
      <c r="CE68" s="150">
        <f t="shared" si="3"/>
        <v>0</v>
      </c>
      <c r="CG68" s="125">
        <v>63</v>
      </c>
      <c r="CH68" s="13">
        <f>IF(SUM(C68:J68)=0,0,SUMPRODUCT(C68:I68,TheModel!$G$28:$M$28)/SUM(C68:I68))</f>
        <v>0</v>
      </c>
      <c r="CI68" s="13">
        <f>IF(SUM(K68:R68)=0,0,TheModel!$G$29)</f>
        <v>0</v>
      </c>
      <c r="CJ68" s="13">
        <f>IF(SUM(S68:Z68)=0,0,SUMPRODUCT(S68:Y68,TheModel!$G$30:$M$30)/SUM(S68:Y68))</f>
        <v>0</v>
      </c>
      <c r="CK68" s="151">
        <f>IF(SUM(AA68:AH68)=0,0,TheModel!$G$31)</f>
        <v>0</v>
      </c>
      <c r="CL68" s="151">
        <f>IF(SUM(AI68:AP68)=0,0,TheModel!$G$32)</f>
        <v>0</v>
      </c>
      <c r="CM68" s="13">
        <f>IF(SUM(AQ68:AX68)=0,0,SUMPRODUCT(AQ68:AW68,TheModel!$G$33:$M$33)/SUM(AQ68:AW68))</f>
        <v>0</v>
      </c>
      <c r="CN68" s="13">
        <f>IF(SUM(AY68:BF68)=0,0,SUMPRODUCT(AY68:BE68,TheModel!$G$34:$M$34)/SUM(AY68:BE68))</f>
        <v>0</v>
      </c>
      <c r="CO68" s="151">
        <f>IF(SUM(BG68:BN68)=0,0,TheModel!$J$35)</f>
        <v>0</v>
      </c>
      <c r="CP68" s="151">
        <f>IF(SUM(BO68:BV68)=0,0,TheModel!$J$35)</f>
        <v>0</v>
      </c>
      <c r="CQ68" s="151">
        <f>IF(SUM(BW68:CD68)=0,0,TheModel!$J$35)</f>
        <v>0</v>
      </c>
      <c r="CS68" s="225" t="e">
        <f t="array" ref="CS68">SUM(C68:I68*CN_PER)/SUM(C68:I68)</f>
        <v>#DIV/0!</v>
      </c>
      <c r="CT68" s="126" t="e">
        <f t="array" ref="CT68">SUM(AY68:BE68*CN_PER)/SUM(AY68:BE68)</f>
        <v>#DIV/0!</v>
      </c>
      <c r="CU68" s="225" t="e">
        <f t="array" ref="CU68">SUM(S68:Y68*CN_TCP)/SUM(S68:Y68)</f>
        <v>#DIV/0!</v>
      </c>
      <c r="CV68" s="126" t="e">
        <f t="array" ref="CV68">SUM(S68:Y68*CN_FOS)/SUM(S68:Y68)</f>
        <v>#DIV/0!</v>
      </c>
    </row>
    <row r="69" spans="1:100" x14ac:dyDescent="0.25">
      <c r="A69" s="154">
        <v>64</v>
      </c>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c r="BS69" s="78"/>
      <c r="BT69" s="78"/>
      <c r="BU69" s="78"/>
      <c r="BV69" s="78"/>
      <c r="BW69" s="78"/>
      <c r="BX69" s="78"/>
      <c r="BY69" s="78"/>
      <c r="BZ69" s="78"/>
      <c r="CA69" s="78"/>
      <c r="CB69" s="78"/>
      <c r="CC69" s="78"/>
      <c r="CD69" s="78"/>
      <c r="CE69" s="150">
        <f t="shared" si="3"/>
        <v>0</v>
      </c>
      <c r="CG69" s="125">
        <v>64</v>
      </c>
      <c r="CH69" s="13">
        <f>IF(SUM(C69:J69)=0,0,SUMPRODUCT(C69:I69,TheModel!$G$28:$M$28)/SUM(C69:I69))</f>
        <v>0</v>
      </c>
      <c r="CI69" s="13">
        <f>IF(SUM(K69:R69)=0,0,TheModel!$G$29)</f>
        <v>0</v>
      </c>
      <c r="CJ69" s="13">
        <f>IF(SUM(S69:Z69)=0,0,SUMPRODUCT(S69:Y69,TheModel!$G$30:$M$30)/SUM(S69:Y69))</f>
        <v>0</v>
      </c>
      <c r="CK69" s="151">
        <f>IF(SUM(AA69:AH69)=0,0,TheModel!$G$31)</f>
        <v>0</v>
      </c>
      <c r="CL69" s="151">
        <f>IF(SUM(AI69:AP69)=0,0,TheModel!$G$32)</f>
        <v>0</v>
      </c>
      <c r="CM69" s="13">
        <f>IF(SUM(AQ69:AX69)=0,0,SUMPRODUCT(AQ69:AW69,TheModel!$G$33:$M$33)/SUM(AQ69:AW69))</f>
        <v>0</v>
      </c>
      <c r="CN69" s="13">
        <f>IF(SUM(AY69:BF69)=0,0,SUMPRODUCT(AY69:BE69,TheModel!$G$34:$M$34)/SUM(AY69:BE69))</f>
        <v>0</v>
      </c>
      <c r="CO69" s="151">
        <f>IF(SUM(BG69:BN69)=0,0,TheModel!$J$35)</f>
        <v>0</v>
      </c>
      <c r="CP69" s="151">
        <f>IF(SUM(BO69:BV69)=0,0,TheModel!$J$35)</f>
        <v>0</v>
      </c>
      <c r="CQ69" s="151">
        <f>IF(SUM(BW69:CD69)=0,0,TheModel!$J$35)</f>
        <v>0</v>
      </c>
      <c r="CS69" s="225" t="e">
        <f t="array" ref="CS69">SUM(C69:I69*CN_PER)/SUM(C69:I69)</f>
        <v>#DIV/0!</v>
      </c>
      <c r="CT69" s="126" t="e">
        <f t="array" ref="CT69">SUM(AY69:BE69*CN_PER)/SUM(AY69:BE69)</f>
        <v>#DIV/0!</v>
      </c>
      <c r="CU69" s="225" t="e">
        <f t="array" ref="CU69">SUM(S69:Y69*CN_TCP)/SUM(S69:Y69)</f>
        <v>#DIV/0!</v>
      </c>
      <c r="CV69" s="126" t="e">
        <f t="array" ref="CV69">SUM(S69:Y69*CN_FOS)/SUM(S69:Y69)</f>
        <v>#DIV/0!</v>
      </c>
    </row>
    <row r="70" spans="1:100" ht="15.75" thickBot="1" x14ac:dyDescent="0.3">
      <c r="A70" s="155"/>
      <c r="B70" s="156"/>
      <c r="C70" s="156"/>
      <c r="D70" s="156"/>
      <c r="E70" s="156"/>
      <c r="F70" s="156"/>
      <c r="G70" s="156"/>
      <c r="H70" s="156"/>
      <c r="I70" s="156"/>
      <c r="J70" s="156"/>
      <c r="K70" s="157"/>
      <c r="L70" s="157"/>
      <c r="M70" s="157"/>
      <c r="N70" s="157"/>
      <c r="O70" s="157"/>
      <c r="P70" s="157"/>
      <c r="Q70" s="157"/>
      <c r="R70" s="157"/>
      <c r="S70" s="157"/>
      <c r="T70" s="157"/>
      <c r="U70" s="157"/>
      <c r="V70" s="157"/>
      <c r="W70" s="157"/>
      <c r="X70" s="157"/>
      <c r="Y70" s="157"/>
      <c r="Z70" s="157"/>
      <c r="AA70" s="157"/>
      <c r="AB70" s="157"/>
      <c r="AC70" s="157"/>
      <c r="AD70" s="157"/>
      <c r="AE70" s="157"/>
      <c r="AF70" s="157"/>
      <c r="AG70" s="157"/>
      <c r="AH70" s="157"/>
      <c r="AI70" s="157"/>
      <c r="AJ70" s="157"/>
      <c r="AK70" s="157"/>
      <c r="AL70" s="157"/>
      <c r="AM70" s="157"/>
      <c r="AN70" s="157"/>
      <c r="AO70" s="157"/>
      <c r="AP70" s="157"/>
      <c r="AQ70" s="157"/>
      <c r="AR70" s="157"/>
      <c r="AS70" s="157"/>
      <c r="AT70" s="157"/>
      <c r="AU70" s="157"/>
      <c r="AV70" s="157"/>
      <c r="AW70" s="157"/>
      <c r="AX70" s="157"/>
      <c r="AY70" s="157"/>
      <c r="AZ70" s="157"/>
      <c r="BA70" s="157"/>
      <c r="BB70" s="157"/>
      <c r="BC70" s="157"/>
      <c r="BD70" s="157"/>
      <c r="BE70" s="157"/>
      <c r="BF70" s="157"/>
      <c r="BG70" s="157"/>
      <c r="BH70" s="157"/>
      <c r="BI70" s="157"/>
      <c r="BJ70" s="157"/>
      <c r="BK70" s="157"/>
      <c r="BL70" s="157"/>
      <c r="BM70" s="157"/>
      <c r="BN70" s="157"/>
      <c r="BO70" s="157"/>
      <c r="BP70" s="157"/>
      <c r="BQ70" s="157"/>
      <c r="BR70" s="157"/>
      <c r="BS70" s="157"/>
      <c r="BT70" s="157"/>
      <c r="BU70" s="157"/>
      <c r="BV70" s="158"/>
      <c r="BW70" s="157"/>
      <c r="BX70" s="157"/>
      <c r="BY70" s="157"/>
      <c r="BZ70" s="157"/>
      <c r="CA70" s="157"/>
      <c r="CB70" s="157"/>
      <c r="CC70" s="157"/>
      <c r="CD70" s="158"/>
      <c r="CE70" s="159">
        <f t="shared" ref="CE70" si="4">SUM(C70:BV70)</f>
        <v>0</v>
      </c>
      <c r="CP70" s="151">
        <f>IF(SUM(BO70:BV70)=0,0,TheModel!$J$35)</f>
        <v>0</v>
      </c>
    </row>
    <row r="71" spans="1:100" x14ac:dyDescent="0.25">
      <c r="CE71"/>
    </row>
    <row r="72" spans="1:100" x14ac:dyDescent="0.25">
      <c r="CE72"/>
    </row>
    <row r="73" spans="1:100" x14ac:dyDescent="0.25">
      <c r="CE73"/>
    </row>
    <row r="74" spans="1:100" x14ac:dyDescent="0.25">
      <c r="CE74"/>
    </row>
    <row r="75" spans="1:100" x14ac:dyDescent="0.25">
      <c r="CE75"/>
    </row>
    <row r="76" spans="1:100" x14ac:dyDescent="0.25">
      <c r="CE76"/>
    </row>
    <row r="77" spans="1:100" x14ac:dyDescent="0.25">
      <c r="CE77"/>
    </row>
    <row r="78" spans="1:100" x14ac:dyDescent="0.25">
      <c r="CE78"/>
    </row>
    <row r="79" spans="1:100" x14ac:dyDescent="0.25">
      <c r="CE79"/>
    </row>
    <row r="80" spans="1:100" x14ac:dyDescent="0.25">
      <c r="CE80"/>
    </row>
    <row r="81" spans="83:83" x14ac:dyDescent="0.25">
      <c r="CE81"/>
    </row>
    <row r="82" spans="83:83" x14ac:dyDescent="0.25">
      <c r="CE82"/>
    </row>
    <row r="83" spans="83:83" x14ac:dyDescent="0.25">
      <c r="CE83"/>
    </row>
    <row r="84" spans="83:83" x14ac:dyDescent="0.25">
      <c r="CE84"/>
    </row>
    <row r="85" spans="83:83" x14ac:dyDescent="0.25">
      <c r="CE85"/>
    </row>
    <row r="86" spans="83:83" x14ac:dyDescent="0.25">
      <c r="CE86"/>
    </row>
    <row r="87" spans="83:83" x14ac:dyDescent="0.25">
      <c r="CE87"/>
    </row>
    <row r="88" spans="83:83" x14ac:dyDescent="0.25">
      <c r="CE88"/>
    </row>
    <row r="89" spans="83:83" x14ac:dyDescent="0.25">
      <c r="CE89"/>
    </row>
    <row r="90" spans="83:83" x14ac:dyDescent="0.25">
      <c r="CE90"/>
    </row>
    <row r="91" spans="83:83" x14ac:dyDescent="0.25">
      <c r="CE91"/>
    </row>
    <row r="92" spans="83:83" x14ac:dyDescent="0.25">
      <c r="CE92"/>
    </row>
    <row r="93" spans="83:83" x14ac:dyDescent="0.25">
      <c r="CE93"/>
    </row>
    <row r="94" spans="83:83" x14ac:dyDescent="0.25">
      <c r="CE94"/>
    </row>
    <row r="95" spans="83:83" x14ac:dyDescent="0.25">
      <c r="CE95"/>
    </row>
    <row r="96" spans="83:83" x14ac:dyDescent="0.25">
      <c r="CE96"/>
    </row>
    <row r="97" spans="83:83" x14ac:dyDescent="0.25">
      <c r="CE97"/>
    </row>
    <row r="98" spans="83:83" x14ac:dyDescent="0.25">
      <c r="CE98"/>
    </row>
    <row r="99" spans="83:83" x14ac:dyDescent="0.25">
      <c r="CE99"/>
    </row>
    <row r="100" spans="83:83" x14ac:dyDescent="0.25">
      <c r="CE100"/>
    </row>
    <row r="101" spans="83:83" x14ac:dyDescent="0.25">
      <c r="CE101"/>
    </row>
    <row r="102" spans="83:83" x14ac:dyDescent="0.25">
      <c r="CE102"/>
    </row>
    <row r="103" spans="83:83" x14ac:dyDescent="0.25">
      <c r="CE103"/>
    </row>
    <row r="104" spans="83:83" x14ac:dyDescent="0.25">
      <c r="CE104"/>
    </row>
    <row r="105" spans="83:83" x14ac:dyDescent="0.25">
      <c r="CE105"/>
    </row>
    <row r="106" spans="83:83" x14ac:dyDescent="0.25">
      <c r="CE106"/>
    </row>
    <row r="107" spans="83:83" x14ac:dyDescent="0.25">
      <c r="CE107"/>
    </row>
    <row r="108" spans="83:83" x14ac:dyDescent="0.25">
      <c r="CE108"/>
    </row>
    <row r="109" spans="83:83" x14ac:dyDescent="0.25">
      <c r="CE109"/>
    </row>
    <row r="110" spans="83:83" x14ac:dyDescent="0.25">
      <c r="CE110"/>
    </row>
    <row r="111" spans="83:83" x14ac:dyDescent="0.25">
      <c r="CE111"/>
    </row>
    <row r="112" spans="83:83" x14ac:dyDescent="0.25">
      <c r="CE112"/>
    </row>
    <row r="113" spans="83:83" x14ac:dyDescent="0.25">
      <c r="CE113"/>
    </row>
    <row r="114" spans="83:83" x14ac:dyDescent="0.25">
      <c r="CE114"/>
    </row>
    <row r="115" spans="83:83" x14ac:dyDescent="0.25">
      <c r="CE115"/>
    </row>
    <row r="116" spans="83:83" x14ac:dyDescent="0.25">
      <c r="CE116"/>
    </row>
    <row r="117" spans="83:83" x14ac:dyDescent="0.25">
      <c r="CE117"/>
    </row>
    <row r="118" spans="83:83" x14ac:dyDescent="0.25">
      <c r="CE118"/>
    </row>
  </sheetData>
  <mergeCells count="33">
    <mergeCell ref="BW2:CD2"/>
    <mergeCell ref="BW4:CD4"/>
    <mergeCell ref="CH3:CQ3"/>
    <mergeCell ref="CP4:CP5"/>
    <mergeCell ref="AI2:AP2"/>
    <mergeCell ref="CI4:CI5"/>
    <mergeCell ref="CJ4:CJ5"/>
    <mergeCell ref="CK4:CK5"/>
    <mergeCell ref="CL4:CL5"/>
    <mergeCell ref="CM4:CM5"/>
    <mergeCell ref="CN4:CN5"/>
    <mergeCell ref="CH4:CH5"/>
    <mergeCell ref="AQ2:AX2"/>
    <mergeCell ref="AY2:BF2"/>
    <mergeCell ref="BG2:BN2"/>
    <mergeCell ref="BO2:BV2"/>
    <mergeCell ref="B1:J1"/>
    <mergeCell ref="C2:J2"/>
    <mergeCell ref="K2:R2"/>
    <mergeCell ref="S2:Z2"/>
    <mergeCell ref="AA2:AH2"/>
    <mergeCell ref="C4:J4"/>
    <mergeCell ref="K4:R4"/>
    <mergeCell ref="S4:Z4"/>
    <mergeCell ref="AA4:AH4"/>
    <mergeCell ref="AI4:AP4"/>
    <mergeCell ref="CO4:CO5"/>
    <mergeCell ref="CQ4:CQ5"/>
    <mergeCell ref="AQ4:AX4"/>
    <mergeCell ref="AY4:BF4"/>
    <mergeCell ref="BG4:BN4"/>
    <mergeCell ref="BO4:BV4"/>
    <mergeCell ref="CE4:CE5"/>
  </mergeCells>
  <pageMargins left="0.7" right="0.7" top="0.75" bottom="0.75" header="0.3" footer="0.3"/>
  <pageSetup orientation="portrait" r:id="rId1"/>
  <ignoredErrors>
    <ignoredError sqref="CH7:CO12 CI6:CM6 CH14:CO15 CH13:CN13"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23</vt:i4>
      </vt:variant>
    </vt:vector>
  </HeadingPairs>
  <TitlesOfParts>
    <vt:vector size="33" baseType="lpstr">
      <vt:lpstr>Instructions</vt:lpstr>
      <vt:lpstr>Summary</vt:lpstr>
      <vt:lpstr>1</vt:lpstr>
      <vt:lpstr>2</vt:lpstr>
      <vt:lpstr>3</vt:lpstr>
      <vt:lpstr>TheModel</vt:lpstr>
      <vt:lpstr>Events</vt:lpstr>
      <vt:lpstr>Landcover</vt:lpstr>
      <vt:lpstr>LandcoverPotential</vt:lpstr>
      <vt:lpstr>LC_HSG_Data</vt:lpstr>
      <vt:lpstr>bare</vt:lpstr>
      <vt:lpstr>Ci</vt:lpstr>
      <vt:lpstr>CN_FOS</vt:lpstr>
      <vt:lpstr>CN_PER</vt:lpstr>
      <vt:lpstr>CN_TCP</vt:lpstr>
      <vt:lpstr>CNadj</vt:lpstr>
      <vt:lpstr>CompositeCN</vt:lpstr>
      <vt:lpstr>Design_Event</vt:lpstr>
      <vt:lpstr>impervious</vt:lpstr>
      <vt:lpstr>LANDCOVER</vt:lpstr>
      <vt:lpstr>LANDCOVERPOT</vt:lpstr>
      <vt:lpstr>loads</vt:lpstr>
      <vt:lpstr>'1'!LossCF</vt:lpstr>
      <vt:lpstr>'2'!LossCF</vt:lpstr>
      <vt:lpstr>'3'!LossCF</vt:lpstr>
      <vt:lpstr>Mgal</vt:lpstr>
      <vt:lpstr>ModelCi</vt:lpstr>
      <vt:lpstr>nloads</vt:lpstr>
      <vt:lpstr>pervious</vt:lpstr>
      <vt:lpstr>ploads</vt:lpstr>
      <vt:lpstr>sedloads</vt:lpstr>
      <vt:lpstr>TCN</vt:lpstr>
      <vt:lpstr>wetland</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Scrivani</dc:creator>
  <cp:keywords/>
  <dc:description/>
  <cp:lastModifiedBy>Matthew Lee</cp:lastModifiedBy>
  <cp:revision/>
  <dcterms:created xsi:type="dcterms:W3CDTF">2018-08-27T16:24:01Z</dcterms:created>
  <dcterms:modified xsi:type="dcterms:W3CDTF">2025-11-24T17:23:18Z</dcterms:modified>
  <cp:category/>
  <cp:contentStatus/>
</cp:coreProperties>
</file>